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Rates &amp; FX\DPP\BBOO\Forwards\"/>
    </mc:Choice>
  </mc:AlternateContent>
  <xr:revisionPtr revIDLastSave="0" documentId="8_{FEE3175E-9141-4DE7-B673-EF64FAD111B5}" xr6:coauthVersionLast="28" xr6:coauthVersionMax="28" xr10:uidLastSave="{00000000-0000-0000-0000-000000000000}"/>
  <bookViews>
    <workbookView xWindow="0" yWindow="0" windowWidth="20490" windowHeight="8940" tabRatio="944" activeTab="2" xr2:uid="{00000000-000D-0000-FFFF-FFFF00000000}"/>
  </bookViews>
  <sheets>
    <sheet name="FWD Deuda 360" sheetId="2" r:id="rId1"/>
    <sheet name="FWD Renta" sheetId="12" state="hidden" r:id="rId2"/>
    <sheet name="FWD Macro 1.5" sheetId="3" r:id="rId3"/>
    <sheet name="FWD LIquidez" sheetId="7" r:id="rId4"/>
    <sheet name="R° Sintetico Liquidez" sheetId="6" r:id="rId5"/>
    <sheet name="Sintetico Liquidez" sheetId="5" r:id="rId6"/>
    <sheet name="FWD MoneyMarket" sheetId="8" r:id="rId7"/>
    <sheet name="R° Sintetico MM" sheetId="10" r:id="rId8"/>
    <sheet name="Sintetico MoneyMarket" sheetId="9" r:id="rId9"/>
    <sheet name="INf. RA USD" sheetId="11" r:id="rId10"/>
    <sheet name="Inf. RA_$$" sheetId="4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xlnm._FilterDatabase" localSheetId="2" hidden="1">'FWD Macro 1.5'!$B$19:$V$19</definedName>
    <definedName name="_xlnm._FilterDatabase" localSheetId="6" hidden="1">'FWD MoneyMarket'!$A$5:$Y$57</definedName>
  </definedNames>
  <calcPr calcId="171027"/>
  <fileRecoveryPr autoRecover="0"/>
</workbook>
</file>

<file path=xl/calcChain.xml><?xml version="1.0" encoding="utf-8"?>
<calcChain xmlns="http://schemas.openxmlformats.org/spreadsheetml/2006/main">
  <c r="H80" i="10" l="1"/>
  <c r="H79" i="10"/>
  <c r="H78" i="10"/>
  <c r="H77" i="10"/>
  <c r="H76" i="10"/>
  <c r="H75" i="10"/>
  <c r="H74" i="10"/>
  <c r="H73" i="10"/>
  <c r="H72" i="10"/>
  <c r="H71" i="10"/>
  <c r="H70" i="10"/>
  <c r="H69" i="10"/>
  <c r="H68" i="10"/>
  <c r="T2" i="11" l="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L47" i="3"/>
  <c r="L24" i="3"/>
  <c r="P83" i="8" l="1"/>
  <c r="P82" i="8"/>
  <c r="P81" i="8"/>
  <c r="P80" i="8"/>
  <c r="P79" i="8"/>
  <c r="P78" i="8"/>
  <c r="P76" i="8"/>
  <c r="P75" i="8"/>
  <c r="P72" i="8"/>
  <c r="L56" i="3"/>
  <c r="L55" i="3"/>
  <c r="L54" i="3"/>
  <c r="L53" i="3"/>
  <c r="L52" i="3"/>
  <c r="L48" i="3"/>
  <c r="L38" i="3"/>
  <c r="L26" i="3"/>
  <c r="L25" i="3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2" i="11"/>
  <c r="T55" i="11"/>
  <c r="D80" i="10" l="1"/>
  <c r="H81" i="10"/>
  <c r="H83" i="10" s="1"/>
  <c r="P77" i="8" l="1"/>
  <c r="A541" i="9" l="1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40" i="9"/>
  <c r="MS29" i="9"/>
  <c r="MT29" i="9" s="1"/>
  <c r="MS8" i="9"/>
  <c r="MS9" i="9" s="1"/>
  <c r="MT8" i="9"/>
  <c r="MU2" i="9"/>
  <c r="O84" i="8"/>
  <c r="T83" i="8"/>
  <c r="U83" i="8"/>
  <c r="L83" i="8"/>
  <c r="K83" i="8"/>
  <c r="E83" i="8"/>
  <c r="MS10" i="9" l="1"/>
  <c r="MT9" i="9"/>
  <c r="R83" i="8"/>
  <c r="G233" i="10"/>
  <c r="H233" i="10" s="1"/>
  <c r="H227" i="10"/>
  <c r="H228" i="10"/>
  <c r="H229" i="10"/>
  <c r="H230" i="10"/>
  <c r="H231" i="10"/>
  <c r="H232" i="10"/>
  <c r="H226" i="10"/>
  <c r="G232" i="10"/>
  <c r="G231" i="10"/>
  <c r="G230" i="10"/>
  <c r="G229" i="10"/>
  <c r="G228" i="10"/>
  <c r="G227" i="10"/>
  <c r="G226" i="10"/>
  <c r="H157" i="10"/>
  <c r="H156" i="10"/>
  <c r="H155" i="10"/>
  <c r="H154" i="10"/>
  <c r="H153" i="10"/>
  <c r="H152" i="10"/>
  <c r="H151" i="10"/>
  <c r="H150" i="10"/>
  <c r="H149" i="10"/>
  <c r="MS11" i="9" l="1"/>
  <c r="MT10" i="9"/>
  <c r="MT11" i="9" l="1"/>
  <c r="MS12" i="9"/>
  <c r="MT12" i="9" l="1"/>
  <c r="MS13" i="9"/>
  <c r="MP9" i="9"/>
  <c r="MP10" i="9"/>
  <c r="MP11" i="9"/>
  <c r="MP12" i="9"/>
  <c r="MP13" i="9"/>
  <c r="MP14" i="9"/>
  <c r="MP15" i="9"/>
  <c r="MP16" i="9"/>
  <c r="MP17" i="9"/>
  <c r="MP18" i="9"/>
  <c r="MP19" i="9"/>
  <c r="MP20" i="9"/>
  <c r="MP21" i="9"/>
  <c r="MP22" i="9"/>
  <c r="MP23" i="9"/>
  <c r="MP24" i="9"/>
  <c r="MP25" i="9"/>
  <c r="MP26" i="9"/>
  <c r="MP27" i="9"/>
  <c r="MP28" i="9"/>
  <c r="MP8" i="9"/>
  <c r="MT13" i="9" l="1"/>
  <c r="MS14" i="9"/>
  <c r="A538" i="9"/>
  <c r="A539" i="9"/>
  <c r="A537" i="9"/>
  <c r="LJ47" i="9"/>
  <c r="MO9" i="9"/>
  <c r="MQ2" i="9"/>
  <c r="D156" i="10"/>
  <c r="G157" i="10"/>
  <c r="G156" i="10"/>
  <c r="G155" i="10"/>
  <c r="G154" i="10"/>
  <c r="G153" i="10"/>
  <c r="G152" i="10"/>
  <c r="G151" i="10"/>
  <c r="G149" i="10"/>
  <c r="O74" i="8"/>
  <c r="H93" i="8"/>
  <c r="I93" i="8"/>
  <c r="S89" i="8" s="1"/>
  <c r="E82" i="8"/>
  <c r="K82" i="8"/>
  <c r="L82" i="8"/>
  <c r="U82" i="8"/>
  <c r="T82" i="8"/>
  <c r="MT14" i="9" l="1"/>
  <c r="MS15" i="9"/>
  <c r="MO10" i="9"/>
  <c r="R82" i="8"/>
  <c r="MT15" i="9" l="1"/>
  <c r="MS16" i="9"/>
  <c r="MO11" i="9"/>
  <c r="R12" i="7"/>
  <c r="MT16" i="9" l="1"/>
  <c r="MS17" i="9"/>
  <c r="MO12" i="9"/>
  <c r="D79" i="10"/>
  <c r="MT17" i="9" l="1"/>
  <c r="MS18" i="9"/>
  <c r="MO13" i="9"/>
  <c r="T6" i="4"/>
  <c r="U6" i="4"/>
  <c r="T7" i="4"/>
  <c r="U7" i="4"/>
  <c r="T8" i="4"/>
  <c r="U8" i="4"/>
  <c r="T9" i="4"/>
  <c r="U9" i="4"/>
  <c r="T10" i="4"/>
  <c r="U10" i="4"/>
  <c r="T2" i="4"/>
  <c r="U2" i="4"/>
  <c r="T3" i="4"/>
  <c r="U3" i="4"/>
  <c r="T4" i="4"/>
  <c r="U4" i="4"/>
  <c r="T5" i="4"/>
  <c r="U5" i="4"/>
  <c r="P10" i="2"/>
  <c r="A10" i="2"/>
  <c r="F10" i="2"/>
  <c r="L10" i="2"/>
  <c r="Q10" i="2" s="1"/>
  <c r="N10" i="2" l="1"/>
  <c r="O10" i="2" s="1"/>
  <c r="MT18" i="9"/>
  <c r="MS19" i="9"/>
  <c r="MO14" i="9"/>
  <c r="M10" i="2"/>
  <c r="MT19" i="9" l="1"/>
  <c r="MS20" i="9"/>
  <c r="MO15" i="9"/>
  <c r="T38" i="3"/>
  <c r="A536" i="9"/>
  <c r="ML9" i="9"/>
  <c r="ML10" i="9"/>
  <c r="ML11" i="9"/>
  <c r="ML12" i="9"/>
  <c r="ML13" i="9"/>
  <c r="ML14" i="9"/>
  <c r="ML15" i="9"/>
  <c r="ML16" i="9"/>
  <c r="ML17" i="9"/>
  <c r="ML18" i="9"/>
  <c r="ML19" i="9"/>
  <c r="ML20" i="9"/>
  <c r="ML21" i="9"/>
  <c r="ML22" i="9"/>
  <c r="ML23" i="9"/>
  <c r="ML24" i="9"/>
  <c r="ML25" i="9"/>
  <c r="ML26" i="9"/>
  <c r="ML27" i="9"/>
  <c r="ML28" i="9"/>
  <c r="ML29" i="9"/>
  <c r="ML30" i="9"/>
  <c r="ML31" i="9"/>
  <c r="E81" i="8"/>
  <c r="E80" i="8"/>
  <c r="E79" i="8"/>
  <c r="E78" i="8"/>
  <c r="E76" i="8"/>
  <c r="E75" i="8"/>
  <c r="E74" i="8"/>
  <c r="E72" i="8"/>
  <c r="N72" i="8" s="1"/>
  <c r="Q72" i="8" s="1"/>
  <c r="R72" i="8"/>
  <c r="E73" i="8"/>
  <c r="E77" i="8"/>
  <c r="O16" i="3"/>
  <c r="L21" i="3"/>
  <c r="N16" i="3"/>
  <c r="L15" i="3"/>
  <c r="O72" i="3"/>
  <c r="O78" i="3"/>
  <c r="A56" i="3"/>
  <c r="A55" i="3"/>
  <c r="A54" i="3"/>
  <c r="A53" i="3"/>
  <c r="A52" i="3"/>
  <c r="A51" i="3"/>
  <c r="A50" i="3"/>
  <c r="A49" i="3"/>
  <c r="A48" i="3"/>
  <c r="A47" i="3"/>
  <c r="M47" i="3" s="1"/>
  <c r="A38" i="3"/>
  <c r="N83" i="8"/>
  <c r="Q83" i="8" s="1"/>
  <c r="A9" i="2"/>
  <c r="N9" i="2" s="1"/>
  <c r="O9" i="2" s="1"/>
  <c r="O14" i="2" s="1"/>
  <c r="L9" i="2"/>
  <c r="A25" i="3"/>
  <c r="A26" i="3"/>
  <c r="A27" i="3"/>
  <c r="A28" i="3"/>
  <c r="A29" i="3"/>
  <c r="A30" i="3"/>
  <c r="A31" i="3"/>
  <c r="A32" i="3"/>
  <c r="A24" i="3"/>
  <c r="M24" i="3" s="1"/>
  <c r="T15" i="3"/>
  <c r="T14" i="3"/>
  <c r="U15" i="3"/>
  <c r="U14" i="3"/>
  <c r="U20" i="3"/>
  <c r="T20" i="3"/>
  <c r="MT20" i="9" l="1"/>
  <c r="MS21" i="9"/>
  <c r="N75" i="8"/>
  <c r="Q75" i="8" s="1"/>
  <c r="N82" i="8"/>
  <c r="Q82" i="8" s="1"/>
  <c r="N79" i="8"/>
  <c r="Q79" i="8" s="1"/>
  <c r="MO16" i="9"/>
  <c r="N76" i="8"/>
  <c r="Q76" i="8" s="1"/>
  <c r="N78" i="8"/>
  <c r="Q78" i="8" s="1"/>
  <c r="N77" i="8"/>
  <c r="N81" i="8"/>
  <c r="Q81" i="8" s="1"/>
  <c r="M56" i="3"/>
  <c r="O56" i="3" s="1"/>
  <c r="N80" i="8"/>
  <c r="Q80" i="8" s="1"/>
  <c r="N74" i="8"/>
  <c r="M53" i="3"/>
  <c r="O53" i="3" s="1"/>
  <c r="M25" i="3"/>
  <c r="O25" i="3" s="1"/>
  <c r="M48" i="3"/>
  <c r="O48" i="3" s="1"/>
  <c r="M50" i="3"/>
  <c r="O50" i="3" s="1"/>
  <c r="M54" i="3"/>
  <c r="O54" i="3" s="1"/>
  <c r="O24" i="3"/>
  <c r="M26" i="3"/>
  <c r="O26" i="3" s="1"/>
  <c r="M38" i="3"/>
  <c r="M51" i="3"/>
  <c r="O51" i="3" s="1"/>
  <c r="M55" i="3"/>
  <c r="O55" i="3" s="1"/>
  <c r="M49" i="3"/>
  <c r="O49" i="3" s="1"/>
  <c r="O47" i="3"/>
  <c r="M52" i="3"/>
  <c r="O52" i="3" s="1"/>
  <c r="M15" i="7"/>
  <c r="M14" i="7"/>
  <c r="M12" i="7"/>
  <c r="S12" i="7" s="1"/>
  <c r="A15" i="7"/>
  <c r="A14" i="7"/>
  <c r="A12" i="7"/>
  <c r="Q86" i="8" l="1"/>
  <c r="Q84" i="8"/>
  <c r="MT21" i="9"/>
  <c r="MS22" i="9"/>
  <c r="MO17" i="9"/>
  <c r="O38" i="3"/>
  <c r="O40" i="3" s="1"/>
  <c r="O63" i="3"/>
  <c r="R81" i="3"/>
  <c r="O33" i="3"/>
  <c r="O15" i="7"/>
  <c r="P15" i="7" s="1"/>
  <c r="O14" i="7"/>
  <c r="P14" i="7" s="1"/>
  <c r="O12" i="7"/>
  <c r="P12" i="7" s="1"/>
  <c r="P18" i="7" s="1"/>
  <c r="MT22" i="9" l="1"/>
  <c r="MS23" i="9"/>
  <c r="P24" i="7"/>
  <c r="MO18" i="9"/>
  <c r="R82" i="3"/>
  <c r="O82" i="3"/>
  <c r="K14" i="2"/>
  <c r="MT23" i="9" l="1"/>
  <c r="MS24" i="9"/>
  <c r="MO19" i="9"/>
  <c r="A535" i="9"/>
  <c r="ML8" i="9"/>
  <c r="MM2" i="9"/>
  <c r="MK8" i="9"/>
  <c r="MK9" i="9" s="1"/>
  <c r="K81" i="8"/>
  <c r="L81" i="8"/>
  <c r="R81" i="8"/>
  <c r="T81" i="8"/>
  <c r="MT24" i="9" l="1"/>
  <c r="MS25" i="9"/>
  <c r="MO20" i="9"/>
  <c r="MK10" i="9"/>
  <c r="U81" i="8"/>
  <c r="MT25" i="9" l="1"/>
  <c r="MS26" i="9"/>
  <c r="MO21" i="9"/>
  <c r="MK11" i="9"/>
  <c r="MT26" i="9" l="1"/>
  <c r="MS27" i="9"/>
  <c r="MO22" i="9"/>
  <c r="MK12" i="9"/>
  <c r="MT27" i="9" l="1"/>
  <c r="MS28" i="9"/>
  <c r="MT28" i="9" s="1"/>
  <c r="MO23" i="9"/>
  <c r="MK13" i="9"/>
  <c r="MO24" i="9" l="1"/>
  <c r="MK14" i="9"/>
  <c r="AS77" i="5"/>
  <c r="A96" i="5"/>
  <c r="R13" i="7"/>
  <c r="O77" i="8"/>
  <c r="MO25" i="9" l="1"/>
  <c r="MK15" i="9"/>
  <c r="MG8" i="9"/>
  <c r="MG9" i="9" s="1"/>
  <c r="MI2" i="9"/>
  <c r="T80" i="8"/>
  <c r="R80" i="8"/>
  <c r="L80" i="8"/>
  <c r="K80" i="8"/>
  <c r="MO26" i="9" l="1"/>
  <c r="MK16" i="9"/>
  <c r="MH8" i="9"/>
  <c r="MH9" i="9"/>
  <c r="MG10" i="9"/>
  <c r="MH10" i="9" s="1"/>
  <c r="U80" i="8"/>
  <c r="N38" i="3"/>
  <c r="F38" i="3"/>
  <c r="MO27" i="9" l="1"/>
  <c r="U38" i="3"/>
  <c r="N40" i="3"/>
  <c r="MK17" i="9"/>
  <c r="MG11" i="9"/>
  <c r="MH11" i="9" s="1"/>
  <c r="MO28" i="9" l="1"/>
  <c r="MK18" i="9"/>
  <c r="MG12" i="9"/>
  <c r="MH12" i="9" s="1"/>
  <c r="MK19" i="9" l="1"/>
  <c r="MG13" i="9"/>
  <c r="MH13" i="9" s="1"/>
  <c r="MC8" i="9"/>
  <c r="MC9" i="9" s="1"/>
  <c r="ME2" i="9"/>
  <c r="D78" i="10"/>
  <c r="K79" i="8"/>
  <c r="L79" i="8"/>
  <c r="U79" i="8"/>
  <c r="T79" i="8"/>
  <c r="O70" i="8"/>
  <c r="MK20" i="9" l="1"/>
  <c r="MD9" i="9"/>
  <c r="MD8" i="9"/>
  <c r="MG14" i="9"/>
  <c r="MH14" i="9" s="1"/>
  <c r="MC10" i="9"/>
  <c r="MC11" i="9" s="1"/>
  <c r="MD11" i="9" s="1"/>
  <c r="R79" i="8"/>
  <c r="MK21" i="9" l="1"/>
  <c r="MD10" i="9"/>
  <c r="MG15" i="9"/>
  <c r="MH15" i="9" s="1"/>
  <c r="MC12" i="9"/>
  <c r="MK22" i="9" l="1"/>
  <c r="MC13" i="9"/>
  <c r="MD13" i="9" s="1"/>
  <c r="MD12" i="9"/>
  <c r="MG16" i="9"/>
  <c r="MH16" i="9" s="1"/>
  <c r="MK23" i="9" l="1"/>
  <c r="MC14" i="9"/>
  <c r="MD14" i="9" s="1"/>
  <c r="MG17" i="9"/>
  <c r="MH17" i="9" s="1"/>
  <c r="M9" i="2"/>
  <c r="MA2" i="9"/>
  <c r="MK24" i="9" l="1"/>
  <c r="MC15" i="9"/>
  <c r="MD15" i="9" s="1"/>
  <c r="MG18" i="9"/>
  <c r="MH18" i="9" s="1"/>
  <c r="LZ8" i="9"/>
  <c r="LY10" i="9"/>
  <c r="LY11" i="9" s="1"/>
  <c r="LY12" i="9" s="1"/>
  <c r="LY13" i="9" s="1"/>
  <c r="LY14" i="9" s="1"/>
  <c r="LY15" i="9" s="1"/>
  <c r="LY16" i="9" s="1"/>
  <c r="LY17" i="9" s="1"/>
  <c r="LY18" i="9" s="1"/>
  <c r="LY19" i="9" s="1"/>
  <c r="LY20" i="9" s="1"/>
  <c r="LY21" i="9" s="1"/>
  <c r="LY22" i="9" s="1"/>
  <c r="LY23" i="9" s="1"/>
  <c r="LY24" i="9" s="1"/>
  <c r="LY25" i="9" s="1"/>
  <c r="LY26" i="9" s="1"/>
  <c r="LY27" i="9" s="1"/>
  <c r="LY28" i="9" s="1"/>
  <c r="LY29" i="9" s="1"/>
  <c r="LY30" i="9" s="1"/>
  <c r="LY31" i="9" s="1"/>
  <c r="LY32" i="9" s="1"/>
  <c r="LY33" i="9" s="1"/>
  <c r="LY34" i="9" s="1"/>
  <c r="LY35" i="9" s="1"/>
  <c r="LY36" i="9" s="1"/>
  <c r="LY37" i="9" s="1"/>
  <c r="LY38" i="9" s="1"/>
  <c r="LY39" i="9" s="1"/>
  <c r="LY40" i="9" s="1"/>
  <c r="LY41" i="9" s="1"/>
  <c r="LY42" i="9" s="1"/>
  <c r="LY43" i="9" s="1"/>
  <c r="LY44" i="9" s="1"/>
  <c r="LY45" i="9" s="1"/>
  <c r="LY46" i="9" s="1"/>
  <c r="LY47" i="9" s="1"/>
  <c r="LZ47" i="9" s="1"/>
  <c r="LY9" i="9"/>
  <c r="LZ9" i="9" s="1"/>
  <c r="K78" i="8"/>
  <c r="L78" i="8"/>
  <c r="T78" i="8"/>
  <c r="D157" i="10"/>
  <c r="F157" i="10"/>
  <c r="F155" i="10"/>
  <c r="F154" i="10"/>
  <c r="F153" i="10"/>
  <c r="F152" i="10"/>
  <c r="F151" i="10"/>
  <c r="F149" i="10"/>
  <c r="D155" i="10"/>
  <c r="D154" i="10"/>
  <c r="D151" i="10"/>
  <c r="D152" i="10"/>
  <c r="D153" i="10"/>
  <c r="D77" i="10"/>
  <c r="MK25" i="9" l="1"/>
  <c r="LZ17" i="9"/>
  <c r="LZ33" i="9"/>
  <c r="LZ22" i="9"/>
  <c r="LZ38" i="9"/>
  <c r="LZ15" i="9"/>
  <c r="LZ31" i="9"/>
  <c r="LZ24" i="9"/>
  <c r="LZ40" i="9"/>
  <c r="MC16" i="9"/>
  <c r="MD16" i="9" s="1"/>
  <c r="LZ21" i="9"/>
  <c r="LZ37" i="9"/>
  <c r="LZ10" i="9"/>
  <c r="LZ26" i="9"/>
  <c r="LZ42" i="9"/>
  <c r="LZ19" i="9"/>
  <c r="LZ35" i="9"/>
  <c r="LZ12" i="9"/>
  <c r="LZ28" i="9"/>
  <c r="LZ44" i="9"/>
  <c r="LZ13" i="9"/>
  <c r="LZ29" i="9"/>
  <c r="LZ45" i="9"/>
  <c r="LZ18" i="9"/>
  <c r="LZ34" i="9"/>
  <c r="LZ11" i="9"/>
  <c r="LZ27" i="9"/>
  <c r="LZ43" i="9"/>
  <c r="LZ20" i="9"/>
  <c r="LZ36" i="9"/>
  <c r="LZ25" i="9"/>
  <c r="LZ41" i="9"/>
  <c r="LZ14" i="9"/>
  <c r="LZ30" i="9"/>
  <c r="LZ46" i="9"/>
  <c r="LZ23" i="9"/>
  <c r="LZ39" i="9"/>
  <c r="LZ16" i="9"/>
  <c r="LZ32" i="9"/>
  <c r="MG19" i="9"/>
  <c r="MH19" i="9" s="1"/>
  <c r="MC17" i="9"/>
  <c r="MD17" i="9" s="1"/>
  <c r="U78" i="8"/>
  <c r="R78" i="8"/>
  <c r="MK26" i="9" l="1"/>
  <c r="MG20" i="9"/>
  <c r="MH20" i="9" s="1"/>
  <c r="MC18" i="9"/>
  <c r="MD18" i="9" s="1"/>
  <c r="H234" i="10"/>
  <c r="MK27" i="9" l="1"/>
  <c r="MG21" i="9"/>
  <c r="MH21" i="9" s="1"/>
  <c r="H159" i="10"/>
  <c r="D149" i="10"/>
  <c r="MC19" i="9"/>
  <c r="MD19" i="9" s="1"/>
  <c r="D150" i="10"/>
  <c r="H235" i="10"/>
  <c r="H10" i="6"/>
  <c r="O71" i="8"/>
  <c r="MK28" i="9" l="1"/>
  <c r="MG22" i="9"/>
  <c r="MH22" i="9" s="1"/>
  <c r="MC20" i="9"/>
  <c r="MD20" i="9" s="1"/>
  <c r="N56" i="3"/>
  <c r="F56" i="3"/>
  <c r="MK29" i="9" l="1"/>
  <c r="MG23" i="9"/>
  <c r="MH23" i="9" s="1"/>
  <c r="MC21" i="9"/>
  <c r="MD21" i="9" s="1"/>
  <c r="LW2" i="9"/>
  <c r="LU9" i="9"/>
  <c r="LU10" i="9" s="1"/>
  <c r="LV10" i="9" s="1"/>
  <c r="MK30" i="9" l="1"/>
  <c r="MG24" i="9"/>
  <c r="MH24" i="9" s="1"/>
  <c r="MC22" i="9"/>
  <c r="MD22" i="9" s="1"/>
  <c r="LV9" i="9"/>
  <c r="LV8" i="9"/>
  <c r="LU11" i="9"/>
  <c r="LV11" i="9" s="1"/>
  <c r="MK31" i="9" l="1"/>
  <c r="MG25" i="9"/>
  <c r="MH25" i="9" s="1"/>
  <c r="MC23" i="9"/>
  <c r="MD23" i="9" s="1"/>
  <c r="LU12" i="9"/>
  <c r="LV12" i="9" s="1"/>
  <c r="MG26" i="9" l="1"/>
  <c r="MH26" i="9" s="1"/>
  <c r="MC24" i="9"/>
  <c r="MD24" i="9" s="1"/>
  <c r="LU13" i="9"/>
  <c r="LV13" i="9" s="1"/>
  <c r="MG27" i="9" l="1"/>
  <c r="MH27" i="9" s="1"/>
  <c r="MC25" i="9"/>
  <c r="MD25" i="9" s="1"/>
  <c r="LU14" i="9"/>
  <c r="LV14" i="9" s="1"/>
  <c r="MG28" i="9" l="1"/>
  <c r="MH28" i="9" s="1"/>
  <c r="MC26" i="9"/>
  <c r="MD26" i="9" s="1"/>
  <c r="LU15" i="9"/>
  <c r="LV15" i="9" s="1"/>
  <c r="MG29" i="9" l="1"/>
  <c r="MH29" i="9" s="1"/>
  <c r="MC27" i="9"/>
  <c r="MD27" i="9" s="1"/>
  <c r="LU16" i="9"/>
  <c r="LV16" i="9" s="1"/>
  <c r="MG30" i="9" l="1"/>
  <c r="MH30" i="9" s="1"/>
  <c r="MC28" i="9"/>
  <c r="MD28" i="9" s="1"/>
  <c r="LU17" i="9"/>
  <c r="LV17" i="9" s="1"/>
  <c r="MG31" i="9" l="1"/>
  <c r="MH31" i="9" s="1"/>
  <c r="MC29" i="9"/>
  <c r="MD29" i="9" s="1"/>
  <c r="LU18" i="9"/>
  <c r="LV18" i="9" s="1"/>
  <c r="MG32" i="9" l="1"/>
  <c r="MH32" i="9" s="1"/>
  <c r="MC30" i="9"/>
  <c r="MD30" i="9" s="1"/>
  <c r="LU19" i="9"/>
  <c r="LV19" i="9" s="1"/>
  <c r="MG33" i="9" l="1"/>
  <c r="MH33" i="9" s="1"/>
  <c r="MC31" i="9"/>
  <c r="MD31" i="9" s="1"/>
  <c r="LU20" i="9"/>
  <c r="LV20" i="9" s="1"/>
  <c r="MG34" i="9" l="1"/>
  <c r="MH34" i="9" s="1"/>
  <c r="MC32" i="9"/>
  <c r="MD32" i="9" s="1"/>
  <c r="LU21" i="9"/>
  <c r="LV21" i="9" s="1"/>
  <c r="MG35" i="9" l="1"/>
  <c r="MH35" i="9" s="1"/>
  <c r="MC33" i="9"/>
  <c r="MD33" i="9" s="1"/>
  <c r="LU22" i="9"/>
  <c r="LV22" i="9" s="1"/>
  <c r="MG36" i="9" l="1"/>
  <c r="MH36" i="9" s="1"/>
  <c r="MC34" i="9"/>
  <c r="MD34" i="9" s="1"/>
  <c r="D76" i="10"/>
  <c r="R77" i="8"/>
  <c r="K77" i="8"/>
  <c r="L77" i="8"/>
  <c r="T77" i="8"/>
  <c r="MG37" i="9" l="1"/>
  <c r="MH37" i="9" s="1"/>
  <c r="MC35" i="9"/>
  <c r="MD35" i="9" s="1"/>
  <c r="U77" i="8"/>
  <c r="MC36" i="9" l="1"/>
  <c r="MD36" i="9" s="1"/>
  <c r="L8" i="6"/>
  <c r="MC37" i="9" l="1"/>
  <c r="MD37" i="9" s="1"/>
  <c r="LQ8" i="9"/>
  <c r="LQ9" i="9" s="1"/>
  <c r="LS2" i="9"/>
  <c r="D75" i="10"/>
  <c r="D74" i="10"/>
  <c r="D73" i="10"/>
  <c r="T76" i="8"/>
  <c r="U76" i="8"/>
  <c r="L76" i="8"/>
  <c r="K76" i="8"/>
  <c r="O73" i="8"/>
  <c r="MC38" i="9" l="1"/>
  <c r="MD38" i="9" s="1"/>
  <c r="LR8" i="9"/>
  <c r="LR9" i="9"/>
  <c r="LQ10" i="9"/>
  <c r="LR10" i="9" s="1"/>
  <c r="R76" i="8"/>
  <c r="R89" i="8"/>
  <c r="MC39" i="9" l="1"/>
  <c r="MD39" i="9" s="1"/>
  <c r="R92" i="8"/>
  <c r="LQ11" i="9"/>
  <c r="LR11" i="9" s="1"/>
  <c r="MC40" i="9" l="1"/>
  <c r="MD40" i="9" s="1"/>
  <c r="LQ12" i="9"/>
  <c r="LR12" i="9" s="1"/>
  <c r="MC41" i="9" l="1"/>
  <c r="MD41" i="9" s="1"/>
  <c r="LQ13" i="9"/>
  <c r="LR13" i="9" s="1"/>
  <c r="MC42" i="9" l="1"/>
  <c r="MD42" i="9" s="1"/>
  <c r="LQ14" i="9"/>
  <c r="LR14" i="9" s="1"/>
  <c r="N55" i="3"/>
  <c r="F55" i="3"/>
  <c r="LQ15" i="9" l="1"/>
  <c r="LR15" i="9" s="1"/>
  <c r="LM8" i="9"/>
  <c r="LO2" i="9"/>
  <c r="T75" i="8"/>
  <c r="U75" i="8"/>
  <c r="L75" i="8"/>
  <c r="K75" i="8"/>
  <c r="LQ16" i="9" l="1"/>
  <c r="LR16" i="9" s="1"/>
  <c r="LN8" i="9"/>
  <c r="LM9" i="9"/>
  <c r="LM10" i="9" s="1"/>
  <c r="LN10" i="9" s="1"/>
  <c r="R75" i="8"/>
  <c r="LQ17" i="9" l="1"/>
  <c r="LR17" i="9" s="1"/>
  <c r="LM11" i="9"/>
  <c r="LN11" i="9" s="1"/>
  <c r="LN9" i="9"/>
  <c r="O68" i="8"/>
  <c r="LQ18" i="9" l="1"/>
  <c r="LR18" i="9" s="1"/>
  <c r="LM12" i="9"/>
  <c r="LN12" i="9" s="1"/>
  <c r="LI8" i="9"/>
  <c r="LI9" i="9" s="1"/>
  <c r="LK2" i="9"/>
  <c r="T74" i="8"/>
  <c r="P74" i="8"/>
  <c r="R74" i="8" s="1"/>
  <c r="L74" i="8"/>
  <c r="K74" i="8"/>
  <c r="O69" i="8"/>
  <c r="LQ19" i="9" l="1"/>
  <c r="LR19" i="9" s="1"/>
  <c r="LM13" i="9"/>
  <c r="LN13" i="9" s="1"/>
  <c r="LI10" i="9"/>
  <c r="LJ10" i="9" s="1"/>
  <c r="LJ9" i="9"/>
  <c r="LJ8" i="9"/>
  <c r="U74" i="8"/>
  <c r="D72" i="10"/>
  <c r="LQ20" i="9" l="1"/>
  <c r="LR20" i="9" s="1"/>
  <c r="LM14" i="9"/>
  <c r="LN14" i="9" s="1"/>
  <c r="LI11" i="9"/>
  <c r="LJ11" i="9" s="1"/>
  <c r="LE8" i="9"/>
  <c r="LE9" i="9" s="1"/>
  <c r="LG2" i="9"/>
  <c r="D244" i="10"/>
  <c r="D243" i="10"/>
  <c r="D242" i="10"/>
  <c r="D241" i="10"/>
  <c r="D240" i="10"/>
  <c r="D230" i="10"/>
  <c r="D229" i="10"/>
  <c r="D228" i="10"/>
  <c r="D227" i="10"/>
  <c r="D226" i="10"/>
  <c r="T73" i="8"/>
  <c r="U73" i="8"/>
  <c r="L73" i="8"/>
  <c r="K73" i="8"/>
  <c r="LQ21" i="9" l="1"/>
  <c r="LR21" i="9" s="1"/>
  <c r="LM15" i="9"/>
  <c r="LN15" i="9" s="1"/>
  <c r="LI12" i="9"/>
  <c r="LJ12" i="9" s="1"/>
  <c r="LF9" i="9"/>
  <c r="LF8" i="9"/>
  <c r="LE10" i="9"/>
  <c r="LF10" i="9" s="1"/>
  <c r="N54" i="3"/>
  <c r="F54" i="3"/>
  <c r="LQ22" i="9" l="1"/>
  <c r="LR22" i="9" s="1"/>
  <c r="LM16" i="9"/>
  <c r="LN16" i="9" s="1"/>
  <c r="LI13" i="9"/>
  <c r="LJ13" i="9" s="1"/>
  <c r="LE11" i="9"/>
  <c r="LF11" i="9" s="1"/>
  <c r="LQ23" i="9" l="1"/>
  <c r="LR23" i="9" s="1"/>
  <c r="LM17" i="9"/>
  <c r="LN17" i="9" s="1"/>
  <c r="LI14" i="9"/>
  <c r="LJ14" i="9" s="1"/>
  <c r="LE12" i="9"/>
  <c r="LF12" i="9" s="1"/>
  <c r="KU2" i="9"/>
  <c r="LA8" i="9"/>
  <c r="LA9" i="9" s="1"/>
  <c r="LC2" i="9"/>
  <c r="D71" i="10"/>
  <c r="T72" i="8"/>
  <c r="U72" i="8"/>
  <c r="L72" i="8"/>
  <c r="K72" i="8"/>
  <c r="LQ24" i="9" l="1"/>
  <c r="LR24" i="9" s="1"/>
  <c r="LM18" i="9"/>
  <c r="LN18" i="9" s="1"/>
  <c r="LI15" i="9"/>
  <c r="LJ15" i="9" s="1"/>
  <c r="LE13" i="9"/>
  <c r="LF13" i="9" s="1"/>
  <c r="LB9" i="9"/>
  <c r="LB8" i="9"/>
  <c r="LA10" i="9"/>
  <c r="LB10" i="9" s="1"/>
  <c r="N53" i="3"/>
  <c r="F53" i="3"/>
  <c r="LQ25" i="9" l="1"/>
  <c r="LR25" i="9" s="1"/>
  <c r="LM19" i="9"/>
  <c r="LN19" i="9" s="1"/>
  <c r="LI16" i="9"/>
  <c r="LJ16" i="9" s="1"/>
  <c r="LE14" i="9"/>
  <c r="LF14" i="9" s="1"/>
  <c r="LA11" i="9"/>
  <c r="LB11" i="9" s="1"/>
  <c r="LQ26" i="9" l="1"/>
  <c r="LR26" i="9" s="1"/>
  <c r="LM20" i="9"/>
  <c r="LN20" i="9" s="1"/>
  <c r="LI17" i="9"/>
  <c r="LJ17" i="9" s="1"/>
  <c r="LE15" i="9"/>
  <c r="LF15" i="9" s="1"/>
  <c r="LA12" i="9"/>
  <c r="LB12" i="9" s="1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BB8" i="5"/>
  <c r="BB9" i="5" s="1"/>
  <c r="BB10" i="5" s="1"/>
  <c r="BE2" i="5"/>
  <c r="E21" i="7"/>
  <c r="R15" i="7"/>
  <c r="S15" i="7"/>
  <c r="F15" i="7"/>
  <c r="LQ27" i="9" l="1"/>
  <c r="LR27" i="9" s="1"/>
  <c r="LM21" i="9"/>
  <c r="LN21" i="9" s="1"/>
  <c r="LI18" i="9"/>
  <c r="LJ18" i="9" s="1"/>
  <c r="LE16" i="9"/>
  <c r="LF16" i="9" s="1"/>
  <c r="LA13" i="9"/>
  <c r="LB13" i="9" s="1"/>
  <c r="BC9" i="5"/>
  <c r="BC10" i="5"/>
  <c r="BC8" i="5"/>
  <c r="BB11" i="5"/>
  <c r="BC11" i="5" s="1"/>
  <c r="N15" i="7"/>
  <c r="LQ28" i="9" l="1"/>
  <c r="LR28" i="9" s="1"/>
  <c r="LM22" i="9"/>
  <c r="LN22" i="9" s="1"/>
  <c r="LI19" i="9"/>
  <c r="LJ19" i="9" s="1"/>
  <c r="LE17" i="9"/>
  <c r="LF17" i="9" s="1"/>
  <c r="LA14" i="9"/>
  <c r="LB14" i="9" s="1"/>
  <c r="BB12" i="5"/>
  <c r="BC12" i="5" s="1"/>
  <c r="D70" i="10"/>
  <c r="R71" i="8"/>
  <c r="KW8" i="9"/>
  <c r="KY2" i="9"/>
  <c r="T71" i="8"/>
  <c r="L71" i="8"/>
  <c r="K71" i="8"/>
  <c r="D69" i="10"/>
  <c r="D68" i="10"/>
  <c r="KS8" i="9"/>
  <c r="T70" i="8"/>
  <c r="L70" i="8"/>
  <c r="K70" i="8"/>
  <c r="KO8" i="9"/>
  <c r="KO9" i="9" s="1"/>
  <c r="KO10" i="9" s="1"/>
  <c r="KK8" i="9"/>
  <c r="KK9" i="9" s="1"/>
  <c r="KK10" i="9" s="1"/>
  <c r="KK11" i="9" s="1"/>
  <c r="KK12" i="9" s="1"/>
  <c r="KK13" i="9" s="1"/>
  <c r="KG8" i="9"/>
  <c r="KG9" i="9" s="1"/>
  <c r="KG10" i="9" s="1"/>
  <c r="KG11" i="9" s="1"/>
  <c r="KG12" i="9" s="1"/>
  <c r="KG13" i="9" s="1"/>
  <c r="KG14" i="9" s="1"/>
  <c r="KG15" i="9" s="1"/>
  <c r="KG16" i="9" s="1"/>
  <c r="KG17" i="9" s="1"/>
  <c r="KG18" i="9" s="1"/>
  <c r="KG19" i="9" s="1"/>
  <c r="KG20" i="9" s="1"/>
  <c r="KC8" i="9"/>
  <c r="KC9" i="9" s="1"/>
  <c r="JY8" i="9"/>
  <c r="JY9" i="9" s="1"/>
  <c r="JY10" i="9" s="1"/>
  <c r="KQ2" i="9"/>
  <c r="KM2" i="9"/>
  <c r="KI2" i="9"/>
  <c r="KE2" i="9"/>
  <c r="KA2" i="9"/>
  <c r="T69" i="8"/>
  <c r="P69" i="8"/>
  <c r="U69" i="8" s="1"/>
  <c r="L69" i="8"/>
  <c r="K69" i="8"/>
  <c r="O63" i="8"/>
  <c r="D7" i="6"/>
  <c r="D6" i="6"/>
  <c r="AW8" i="5"/>
  <c r="AW9" i="5" s="1"/>
  <c r="AZ2" i="5"/>
  <c r="R14" i="7"/>
  <c r="N14" i="7"/>
  <c r="F14" i="7"/>
  <c r="O67" i="8"/>
  <c r="T67" i="8" s="1"/>
  <c r="O64" i="8"/>
  <c r="T64" i="8" s="1"/>
  <c r="AR8" i="5"/>
  <c r="AR9" i="5" s="1"/>
  <c r="AR10" i="5" s="1"/>
  <c r="AU2" i="5"/>
  <c r="F13" i="7"/>
  <c r="N9" i="12"/>
  <c r="K9" i="12"/>
  <c r="O9" i="12" s="1"/>
  <c r="E9" i="12"/>
  <c r="O66" i="8"/>
  <c r="T66" i="8" s="1"/>
  <c r="Y1" i="7"/>
  <c r="Z1" i="7"/>
  <c r="AA1" i="7"/>
  <c r="AC1" i="7"/>
  <c r="X1" i="7"/>
  <c r="AL12" i="7"/>
  <c r="AR12" i="7" s="1"/>
  <c r="AF12" i="7" s="1"/>
  <c r="AF1" i="7" s="1"/>
  <c r="AK12" i="7"/>
  <c r="AJ12" i="7"/>
  <c r="AP12" i="7" s="1"/>
  <c r="AB12" i="7" s="1"/>
  <c r="AQ12" i="7"/>
  <c r="AE12" i="7" s="1"/>
  <c r="AE1" i="7" s="1"/>
  <c r="AD12" i="7"/>
  <c r="AD1" i="7" s="1"/>
  <c r="AB6" i="7"/>
  <c r="AD6" i="7"/>
  <c r="AE6" i="7"/>
  <c r="AF6" i="7"/>
  <c r="AG6" i="7"/>
  <c r="AH6" i="7"/>
  <c r="AB7" i="7"/>
  <c r="AD7" i="7"/>
  <c r="AE7" i="7"/>
  <c r="AF7" i="7"/>
  <c r="AG7" i="7"/>
  <c r="AH7" i="7"/>
  <c r="AB8" i="7"/>
  <c r="AD8" i="7"/>
  <c r="AE8" i="7"/>
  <c r="AF8" i="7"/>
  <c r="AG8" i="7"/>
  <c r="AH8" i="7"/>
  <c r="AB9" i="7"/>
  <c r="AD9" i="7"/>
  <c r="AE9" i="7"/>
  <c r="AF9" i="7"/>
  <c r="AG9" i="7"/>
  <c r="AH9" i="7"/>
  <c r="AB10" i="7"/>
  <c r="AD10" i="7"/>
  <c r="AE10" i="7"/>
  <c r="AF10" i="7"/>
  <c r="AG10" i="7"/>
  <c r="AH10" i="7"/>
  <c r="AB11" i="7"/>
  <c r="AD11" i="7"/>
  <c r="AE11" i="7"/>
  <c r="AF11" i="7"/>
  <c r="AG11" i="7"/>
  <c r="AH11" i="7"/>
  <c r="O65" i="8"/>
  <c r="T65" i="8" s="1"/>
  <c r="D3" i="5"/>
  <c r="D5" i="6"/>
  <c r="AP2" i="5"/>
  <c r="AM8" i="5"/>
  <c r="AM9" i="5" s="1"/>
  <c r="AM10" i="5" s="1"/>
  <c r="AM11" i="5" s="1"/>
  <c r="AM12" i="5" s="1"/>
  <c r="AM13" i="5" s="1"/>
  <c r="AM14" i="5" s="1"/>
  <c r="AM15" i="5" s="1"/>
  <c r="AM16" i="5" s="1"/>
  <c r="AM17" i="5" s="1"/>
  <c r="AM18" i="5" s="1"/>
  <c r="AM19" i="5" s="1"/>
  <c r="AM20" i="5" s="1"/>
  <c r="AM21" i="5" s="1"/>
  <c r="AM22" i="5" s="1"/>
  <c r="AM23" i="5" s="1"/>
  <c r="K11" i="7"/>
  <c r="S11" i="7" s="1"/>
  <c r="K10" i="7"/>
  <c r="AM12" i="7"/>
  <c r="AS12" i="7" s="1"/>
  <c r="AG12" i="7" s="1"/>
  <c r="AG1" i="7" s="1"/>
  <c r="AN12" i="7"/>
  <c r="F12" i="7"/>
  <c r="D225" i="10"/>
  <c r="D224" i="10"/>
  <c r="D223" i="10"/>
  <c r="D222" i="10"/>
  <c r="D221" i="10"/>
  <c r="D148" i="10"/>
  <c r="D147" i="10"/>
  <c r="D146" i="10"/>
  <c r="D145" i="10"/>
  <c r="D144" i="10"/>
  <c r="T52" i="3"/>
  <c r="U52" i="3"/>
  <c r="F52" i="3"/>
  <c r="O62" i="8"/>
  <c r="T62" i="8" s="1"/>
  <c r="O59" i="8"/>
  <c r="T59" i="8" s="1"/>
  <c r="D220" i="10"/>
  <c r="D219" i="10"/>
  <c r="D218" i="10"/>
  <c r="D217" i="10"/>
  <c r="D143" i="10"/>
  <c r="D142" i="10"/>
  <c r="D141" i="10"/>
  <c r="D140" i="10"/>
  <c r="O61" i="8"/>
  <c r="T61" i="8" s="1"/>
  <c r="D67" i="10"/>
  <c r="JU8" i="9"/>
  <c r="JU9" i="9" s="1"/>
  <c r="JU10" i="9" s="1"/>
  <c r="JU11" i="9" s="1"/>
  <c r="JU12" i="9" s="1"/>
  <c r="JU13" i="9" s="1"/>
  <c r="JU14" i="9" s="1"/>
  <c r="JU15" i="9" s="1"/>
  <c r="JU16" i="9" s="1"/>
  <c r="JU17" i="9" s="1"/>
  <c r="JU18" i="9" s="1"/>
  <c r="JU19" i="9" s="1"/>
  <c r="JU20" i="9" s="1"/>
  <c r="JU21" i="9" s="1"/>
  <c r="JU22" i="9" s="1"/>
  <c r="JU23" i="9" s="1"/>
  <c r="JU24" i="9" s="1"/>
  <c r="JU25" i="9" s="1"/>
  <c r="JW2" i="9"/>
  <c r="T68" i="8"/>
  <c r="P68" i="8"/>
  <c r="L68" i="8"/>
  <c r="K68" i="8"/>
  <c r="C4" i="10"/>
  <c r="B4" i="10" s="1"/>
  <c r="O58" i="8"/>
  <c r="T58" i="8" s="1"/>
  <c r="O60" i="8"/>
  <c r="T60" i="8" s="1"/>
  <c r="L60" i="10"/>
  <c r="D66" i="10"/>
  <c r="K67" i="8"/>
  <c r="L67" i="8"/>
  <c r="P67" i="8"/>
  <c r="JQ8" i="9"/>
  <c r="JQ9" i="9" s="1"/>
  <c r="JS2" i="9"/>
  <c r="D64" i="10"/>
  <c r="D65" i="10"/>
  <c r="JM8" i="9"/>
  <c r="JM9" i="9" s="1"/>
  <c r="JM10" i="9" s="1"/>
  <c r="JM11" i="9" s="1"/>
  <c r="JI8" i="9"/>
  <c r="JO2" i="9"/>
  <c r="JK2" i="9"/>
  <c r="K66" i="8"/>
  <c r="L66" i="8"/>
  <c r="P66" i="8"/>
  <c r="K65" i="8"/>
  <c r="L65" i="8"/>
  <c r="P65" i="8"/>
  <c r="H57" i="10"/>
  <c r="D63" i="10"/>
  <c r="P64" i="8"/>
  <c r="K64" i="8"/>
  <c r="L64" i="8"/>
  <c r="JE8" i="9"/>
  <c r="JG2" i="9"/>
  <c r="O30" i="8"/>
  <c r="T30" i="8" s="1"/>
  <c r="O114" i="8"/>
  <c r="R117" i="8"/>
  <c r="O113" i="8"/>
  <c r="P110" i="8"/>
  <c r="P113" i="8" s="1"/>
  <c r="P117" i="8" s="1"/>
  <c r="R110" i="8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29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D62" i="10"/>
  <c r="O54" i="8"/>
  <c r="T54" i="8" s="1"/>
  <c r="O37" i="8"/>
  <c r="T37" i="8" s="1"/>
  <c r="L63" i="8"/>
  <c r="K63" i="8"/>
  <c r="JA8" i="9"/>
  <c r="JA9" i="9" s="1"/>
  <c r="JC2" i="9"/>
  <c r="D216" i="10"/>
  <c r="D215" i="10"/>
  <c r="D214" i="10"/>
  <c r="D213" i="10"/>
  <c r="D212" i="10"/>
  <c r="D211" i="10"/>
  <c r="D210" i="10"/>
  <c r="D209" i="10"/>
  <c r="D208" i="10"/>
  <c r="D207" i="10"/>
  <c r="D139" i="10"/>
  <c r="D138" i="10"/>
  <c r="D137" i="10"/>
  <c r="D136" i="10"/>
  <c r="D135" i="10"/>
  <c r="D134" i="10"/>
  <c r="D133" i="10"/>
  <c r="D132" i="10"/>
  <c r="D131" i="10"/>
  <c r="D130" i="10"/>
  <c r="O50" i="8"/>
  <c r="T50" i="8" s="1"/>
  <c r="O49" i="8"/>
  <c r="T49" i="8" s="1"/>
  <c r="O51" i="8"/>
  <c r="T51" i="8" s="1"/>
  <c r="O48" i="8"/>
  <c r="T48" i="8" s="1"/>
  <c r="L94" i="8"/>
  <c r="O38" i="8"/>
  <c r="T38" i="8" s="1"/>
  <c r="D60" i="10"/>
  <c r="D61" i="10"/>
  <c r="IW8" i="9"/>
  <c r="IW9" i="9" s="1"/>
  <c r="IY2" i="9"/>
  <c r="P62" i="8"/>
  <c r="L62" i="8"/>
  <c r="K62" i="8"/>
  <c r="IS8" i="9"/>
  <c r="IS9" i="9" s="1"/>
  <c r="IS10" i="9" s="1"/>
  <c r="IS11" i="9" s="1"/>
  <c r="IU2" i="9"/>
  <c r="IQ2" i="9"/>
  <c r="IO8" i="9"/>
  <c r="IO9" i="9" s="1"/>
  <c r="P61" i="8"/>
  <c r="U61" i="8" s="1"/>
  <c r="L61" i="8"/>
  <c r="K61" i="8"/>
  <c r="O39" i="8"/>
  <c r="T39" i="8" s="1"/>
  <c r="O34" i="8"/>
  <c r="T34" i="8" s="1"/>
  <c r="O29" i="8"/>
  <c r="T29" i="8" s="1"/>
  <c r="D59" i="10"/>
  <c r="P60" i="8"/>
  <c r="L60" i="8"/>
  <c r="K60" i="8"/>
  <c r="O47" i="8"/>
  <c r="T47" i="8" s="1"/>
  <c r="D58" i="10"/>
  <c r="IK8" i="9"/>
  <c r="IK9" i="9" s="1"/>
  <c r="IM2" i="9"/>
  <c r="P59" i="8"/>
  <c r="L59" i="8"/>
  <c r="K59" i="8"/>
  <c r="D57" i="10"/>
  <c r="IG8" i="9"/>
  <c r="IG9" i="9" s="1"/>
  <c r="II2" i="9"/>
  <c r="O57" i="8"/>
  <c r="T57" i="8" s="1"/>
  <c r="L58" i="8"/>
  <c r="K58" i="8"/>
  <c r="P58" i="8"/>
  <c r="O56" i="8"/>
  <c r="T56" i="8" s="1"/>
  <c r="O55" i="8"/>
  <c r="T55" i="8" s="1"/>
  <c r="O52" i="8"/>
  <c r="T52" i="8" s="1"/>
  <c r="O42" i="8"/>
  <c r="T42" i="8" s="1"/>
  <c r="O53" i="8"/>
  <c r="O90" i="8" s="1"/>
  <c r="O46" i="8"/>
  <c r="O89" i="8" s="1"/>
  <c r="D56" i="10"/>
  <c r="IC8" i="9"/>
  <c r="IC9" i="9" s="1"/>
  <c r="IC10" i="9" s="1"/>
  <c r="IC11" i="9" s="1"/>
  <c r="IC12" i="9" s="1"/>
  <c r="IC13" i="9" s="1"/>
  <c r="IC14" i="9" s="1"/>
  <c r="IE2" i="9"/>
  <c r="F57" i="8"/>
  <c r="P57" i="8" s="1"/>
  <c r="K57" i="8"/>
  <c r="L57" i="8"/>
  <c r="N26" i="3"/>
  <c r="D54" i="10"/>
  <c r="D55" i="10"/>
  <c r="HY8" i="9"/>
  <c r="HY9" i="9" s="1"/>
  <c r="HY10" i="9" s="1"/>
  <c r="HY11" i="9" s="1"/>
  <c r="HY12" i="9" s="1"/>
  <c r="IA2" i="9"/>
  <c r="P56" i="8"/>
  <c r="L56" i="8"/>
  <c r="K56" i="8"/>
  <c r="HU8" i="9"/>
  <c r="HU9" i="9" s="1"/>
  <c r="HW2" i="9"/>
  <c r="P55" i="8"/>
  <c r="L55" i="8"/>
  <c r="K55" i="8"/>
  <c r="D53" i="10"/>
  <c r="HQ8" i="9"/>
  <c r="HQ9" i="9" s="1"/>
  <c r="HQ10" i="9" s="1"/>
  <c r="HS2" i="9"/>
  <c r="P54" i="8"/>
  <c r="L54" i="8"/>
  <c r="K54" i="8"/>
  <c r="D51" i="10"/>
  <c r="D52" i="10"/>
  <c r="HM8" i="9"/>
  <c r="HM9" i="9" s="1"/>
  <c r="HM10" i="9" s="1"/>
  <c r="HM11" i="9" s="1"/>
  <c r="HM12" i="9" s="1"/>
  <c r="HM13" i="9" s="1"/>
  <c r="HM14" i="9" s="1"/>
  <c r="HO2" i="9"/>
  <c r="P53" i="8"/>
  <c r="L53" i="8"/>
  <c r="K53" i="8"/>
  <c r="HI8" i="9"/>
  <c r="HI9" i="9" s="1"/>
  <c r="HI10" i="9" s="1"/>
  <c r="HK2" i="9"/>
  <c r="P52" i="8"/>
  <c r="L52" i="8"/>
  <c r="K52" i="8"/>
  <c r="O45" i="8"/>
  <c r="T45" i="8" s="1"/>
  <c r="O44" i="8"/>
  <c r="T44" i="8" s="1"/>
  <c r="D50" i="10"/>
  <c r="HE8" i="9"/>
  <c r="HE9" i="9" s="1"/>
  <c r="HE10" i="9" s="1"/>
  <c r="HE11" i="9" s="1"/>
  <c r="HG2" i="9"/>
  <c r="P51" i="8"/>
  <c r="L51" i="8"/>
  <c r="K51" i="8"/>
  <c r="O40" i="8"/>
  <c r="T40" i="8" s="1"/>
  <c r="D49" i="10"/>
  <c r="D48" i="10"/>
  <c r="HA8" i="9"/>
  <c r="HA9" i="9" s="1"/>
  <c r="HA10" i="9" s="1"/>
  <c r="HA11" i="9" s="1"/>
  <c r="HC2" i="9"/>
  <c r="P50" i="8"/>
  <c r="L50" i="8"/>
  <c r="K50" i="8"/>
  <c r="GW8" i="9"/>
  <c r="GW9" i="9" s="1"/>
  <c r="GY2" i="9"/>
  <c r="P49" i="8"/>
  <c r="L49" i="8"/>
  <c r="K49" i="8"/>
  <c r="O43" i="8"/>
  <c r="T43" i="8" s="1"/>
  <c r="GS8" i="9"/>
  <c r="GS9" i="9" s="1"/>
  <c r="GS10" i="9" s="1"/>
  <c r="GU2" i="9"/>
  <c r="P48" i="8"/>
  <c r="L48" i="8"/>
  <c r="K48" i="8"/>
  <c r="O41" i="8"/>
  <c r="T41" i="8" s="1"/>
  <c r="GO8" i="9"/>
  <c r="GO9" i="9" s="1"/>
  <c r="GO10" i="9" s="1"/>
  <c r="GQ2" i="9"/>
  <c r="P47" i="8"/>
  <c r="L47" i="8"/>
  <c r="K47" i="8"/>
  <c r="GK8" i="9"/>
  <c r="GK9" i="9" s="1"/>
  <c r="GM2" i="9"/>
  <c r="P46" i="8"/>
  <c r="L46" i="8"/>
  <c r="K46" i="8"/>
  <c r="F26" i="3"/>
  <c r="O35" i="8"/>
  <c r="T35" i="8" s="1"/>
  <c r="C239" i="10"/>
  <c r="B239" i="10" s="1"/>
  <c r="J51" i="3"/>
  <c r="T51" i="3" s="1"/>
  <c r="O32" i="8"/>
  <c r="T32" i="8" s="1"/>
  <c r="O21" i="8"/>
  <c r="T21" i="8" s="1"/>
  <c r="H27" i="10"/>
  <c r="H26" i="10"/>
  <c r="H25" i="10"/>
  <c r="H24" i="10"/>
  <c r="H23" i="10"/>
  <c r="H22" i="10"/>
  <c r="H21" i="10"/>
  <c r="H20" i="10"/>
  <c r="H186" i="10"/>
  <c r="H185" i="10"/>
  <c r="H184" i="10"/>
  <c r="H183" i="10"/>
  <c r="H182" i="10"/>
  <c r="H181" i="10"/>
  <c r="H180" i="10"/>
  <c r="H179" i="10"/>
  <c r="H109" i="10"/>
  <c r="H108" i="10"/>
  <c r="H107" i="10"/>
  <c r="H106" i="10"/>
  <c r="H105" i="10"/>
  <c r="H104" i="10"/>
  <c r="H103" i="10"/>
  <c r="H101" i="10"/>
  <c r="H102" i="10"/>
  <c r="F51" i="3"/>
  <c r="GG8" i="9"/>
  <c r="GG9" i="9" s="1"/>
  <c r="GI2" i="9"/>
  <c r="P45" i="8"/>
  <c r="L45" i="8"/>
  <c r="K45" i="8"/>
  <c r="O26" i="8"/>
  <c r="T26" i="8" s="1"/>
  <c r="GC8" i="9"/>
  <c r="GC9" i="9" s="1"/>
  <c r="GC10" i="9" s="1"/>
  <c r="GE2" i="9"/>
  <c r="P44" i="8"/>
  <c r="L44" i="8"/>
  <c r="K44" i="8"/>
  <c r="O31" i="8"/>
  <c r="T31" i="8" s="1"/>
  <c r="P42" i="8"/>
  <c r="FY8" i="9"/>
  <c r="FY9" i="9" s="1"/>
  <c r="FY10" i="9" s="1"/>
  <c r="FY11" i="9" s="1"/>
  <c r="FY12" i="9" s="1"/>
  <c r="FY13" i="9" s="1"/>
  <c r="FY14" i="9" s="1"/>
  <c r="GA2" i="9"/>
  <c r="P43" i="8"/>
  <c r="L43" i="8"/>
  <c r="K43" i="8"/>
  <c r="FU8" i="9"/>
  <c r="FU9" i="9" s="1"/>
  <c r="FU10" i="9" s="1"/>
  <c r="FW2" i="9"/>
  <c r="L42" i="8"/>
  <c r="K42" i="8"/>
  <c r="O33" i="8"/>
  <c r="T33" i="8" s="1"/>
  <c r="O24" i="8"/>
  <c r="T24" i="8" s="1"/>
  <c r="FQ8" i="9"/>
  <c r="FQ9" i="9" s="1"/>
  <c r="FQ10" i="9" s="1"/>
  <c r="FS2" i="9"/>
  <c r="FM8" i="9"/>
  <c r="FM9" i="9" s="1"/>
  <c r="FM10" i="9" s="1"/>
  <c r="FO2" i="9"/>
  <c r="P41" i="8"/>
  <c r="L41" i="8"/>
  <c r="K41" i="8"/>
  <c r="P40" i="8"/>
  <c r="L40" i="8"/>
  <c r="K40" i="8"/>
  <c r="O36" i="8"/>
  <c r="T36" i="8" s="1"/>
  <c r="FI8" i="9"/>
  <c r="FI9" i="9" s="1"/>
  <c r="FK2" i="9"/>
  <c r="P39" i="8"/>
  <c r="K39" i="8"/>
  <c r="L39" i="8"/>
  <c r="FE8" i="9"/>
  <c r="FE9" i="9" s="1"/>
  <c r="FG2" i="9"/>
  <c r="P38" i="8"/>
  <c r="K38" i="8"/>
  <c r="L38" i="8"/>
  <c r="FA8" i="9"/>
  <c r="FA9" i="9" s="1"/>
  <c r="FC2" i="9"/>
  <c r="P37" i="8"/>
  <c r="K37" i="8"/>
  <c r="L37" i="8"/>
  <c r="O16" i="8"/>
  <c r="T16" i="8" s="1"/>
  <c r="H18" i="10"/>
  <c r="H17" i="10"/>
  <c r="H16" i="10"/>
  <c r="H15" i="10"/>
  <c r="H177" i="10"/>
  <c r="H176" i="10"/>
  <c r="H175" i="10"/>
  <c r="H174" i="10"/>
  <c r="H100" i="10"/>
  <c r="H99" i="10"/>
  <c r="H98" i="10"/>
  <c r="H97" i="10"/>
  <c r="O20" i="8"/>
  <c r="EW8" i="9"/>
  <c r="EW9" i="9" s="1"/>
  <c r="EY2" i="9"/>
  <c r="P36" i="8"/>
  <c r="K36" i="8"/>
  <c r="L36" i="8"/>
  <c r="O28" i="8"/>
  <c r="T28" i="8" s="1"/>
  <c r="O25" i="8"/>
  <c r="T25" i="8" s="1"/>
  <c r="ES8" i="9"/>
  <c r="ES9" i="9" s="1"/>
  <c r="EU2" i="9"/>
  <c r="P35" i="8"/>
  <c r="K35" i="8"/>
  <c r="L35" i="8"/>
  <c r="EO8" i="9"/>
  <c r="EO9" i="9" s="1"/>
  <c r="EO10" i="9" s="1"/>
  <c r="EQ2" i="9"/>
  <c r="P34" i="8"/>
  <c r="K34" i="8"/>
  <c r="L34" i="8"/>
  <c r="EK8" i="9"/>
  <c r="EK9" i="9" s="1"/>
  <c r="EM2" i="9"/>
  <c r="P33" i="8"/>
  <c r="K33" i="8"/>
  <c r="L33" i="8"/>
  <c r="O15" i="8"/>
  <c r="R15" i="8" s="1"/>
  <c r="EG8" i="9"/>
  <c r="EG9" i="9" s="1"/>
  <c r="EI2" i="9"/>
  <c r="P32" i="8"/>
  <c r="K32" i="8"/>
  <c r="L32" i="8"/>
  <c r="O19" i="8"/>
  <c r="R19" i="8" s="1"/>
  <c r="EC8" i="9"/>
  <c r="EC9" i="9" s="1"/>
  <c r="EE2" i="9"/>
  <c r="P31" i="8"/>
  <c r="K31" i="8"/>
  <c r="L31" i="8"/>
  <c r="O22" i="8"/>
  <c r="DY8" i="9"/>
  <c r="DY9" i="9" s="1"/>
  <c r="EA2" i="9"/>
  <c r="P30" i="8"/>
  <c r="K30" i="8"/>
  <c r="L30" i="8"/>
  <c r="DU8" i="9"/>
  <c r="DU9" i="9" s="1"/>
  <c r="DU10" i="9" s="1"/>
  <c r="DU11" i="9" s="1"/>
  <c r="DQ8" i="9"/>
  <c r="DQ9" i="9" s="1"/>
  <c r="DW2" i="9"/>
  <c r="DS2" i="9"/>
  <c r="P29" i="8"/>
  <c r="K29" i="8"/>
  <c r="L29" i="8"/>
  <c r="O23" i="8"/>
  <c r="T23" i="8" s="1"/>
  <c r="O18" i="8"/>
  <c r="T18" i="8" s="1"/>
  <c r="O17" i="8"/>
  <c r="T17" i="8" s="1"/>
  <c r="DM8" i="9"/>
  <c r="DM9" i="9" s="1"/>
  <c r="DO2" i="9"/>
  <c r="P28" i="8"/>
  <c r="L28" i="8"/>
  <c r="K28" i="8"/>
  <c r="P27" i="8"/>
  <c r="O27" i="8"/>
  <c r="P16" i="8"/>
  <c r="P17" i="8"/>
  <c r="P18" i="8"/>
  <c r="P21" i="8"/>
  <c r="P23" i="8"/>
  <c r="P24" i="8"/>
  <c r="P25" i="8"/>
  <c r="P26" i="8"/>
  <c r="C2" i="3"/>
  <c r="DI8" i="9"/>
  <c r="DI9" i="9" s="1"/>
  <c r="DI10" i="9" s="1"/>
  <c r="DI11" i="9" s="1"/>
  <c r="DI12" i="9" s="1"/>
  <c r="DI13" i="9" s="1"/>
  <c r="DI14" i="9" s="1"/>
  <c r="DK2" i="9"/>
  <c r="T27" i="8"/>
  <c r="K27" i="8"/>
  <c r="L27" i="8"/>
  <c r="DE8" i="9"/>
  <c r="DE9" i="9" s="1"/>
  <c r="DG2" i="9"/>
  <c r="K26" i="8"/>
  <c r="L26" i="8"/>
  <c r="O9" i="8"/>
  <c r="T9" i="8" s="1"/>
  <c r="K25" i="8"/>
  <c r="L25" i="8"/>
  <c r="O13" i="8"/>
  <c r="T13" i="8" s="1"/>
  <c r="O8" i="8"/>
  <c r="DA8" i="9"/>
  <c r="DA9" i="9" s="1"/>
  <c r="DA10" i="9" s="1"/>
  <c r="DA11" i="9" s="1"/>
  <c r="DA12" i="9" s="1"/>
  <c r="DC2" i="9"/>
  <c r="J50" i="3"/>
  <c r="U50" i="3" s="1"/>
  <c r="J49" i="3"/>
  <c r="N49" i="3" s="1"/>
  <c r="J23" i="3"/>
  <c r="N23" i="3" s="1"/>
  <c r="J22" i="3"/>
  <c r="N22" i="3" s="1"/>
  <c r="CW8" i="9"/>
  <c r="CW9" i="9" s="1"/>
  <c r="CY2" i="9"/>
  <c r="C251" i="10"/>
  <c r="B251" i="10" s="1"/>
  <c r="K24" i="8"/>
  <c r="L24" i="8"/>
  <c r="O11" i="8"/>
  <c r="T11" i="8" s="1"/>
  <c r="CS8" i="9"/>
  <c r="CS9" i="9" s="1"/>
  <c r="CS10" i="9" s="1"/>
  <c r="CS11" i="9" s="1"/>
  <c r="CS12" i="9" s="1"/>
  <c r="CU2" i="9"/>
  <c r="CO8" i="9"/>
  <c r="CO9" i="9" s="1"/>
  <c r="CQ2" i="9"/>
  <c r="L23" i="8"/>
  <c r="K23" i="8"/>
  <c r="L22" i="8"/>
  <c r="K22" i="8"/>
  <c r="O14" i="8"/>
  <c r="T14" i="8" s="1"/>
  <c r="O12" i="8"/>
  <c r="T12" i="8" s="1"/>
  <c r="P7" i="8"/>
  <c r="L19" i="8"/>
  <c r="L18" i="8"/>
  <c r="L17" i="8"/>
  <c r="L16" i="8"/>
  <c r="L15" i="8"/>
  <c r="L14" i="8"/>
  <c r="L13" i="8"/>
  <c r="L12" i="8"/>
  <c r="L11" i="8"/>
  <c r="L10" i="8"/>
  <c r="L9" i="8"/>
  <c r="L8" i="8"/>
  <c r="L20" i="8"/>
  <c r="L21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CK8" i="9"/>
  <c r="CK9" i="9" s="1"/>
  <c r="CK10" i="9" s="1"/>
  <c r="CK11" i="9" s="1"/>
  <c r="CM2" i="9"/>
  <c r="O10" i="8"/>
  <c r="T10" i="8" s="1"/>
  <c r="CG8" i="9"/>
  <c r="CG9" i="9" s="1"/>
  <c r="CG10" i="9" s="1"/>
  <c r="CG11" i="9" s="1"/>
  <c r="CG12" i="9" s="1"/>
  <c r="CG13" i="9" s="1"/>
  <c r="CG14" i="9" s="1"/>
  <c r="CG15" i="9" s="1"/>
  <c r="CG16" i="9" s="1"/>
  <c r="CG17" i="9" s="1"/>
  <c r="CG18" i="9" s="1"/>
  <c r="CG19" i="9" s="1"/>
  <c r="CG20" i="9" s="1"/>
  <c r="CG21" i="9" s="1"/>
  <c r="CG22" i="9" s="1"/>
  <c r="CG23" i="9" s="1"/>
  <c r="CI2" i="9"/>
  <c r="CA2" i="9"/>
  <c r="BZ8" i="9" s="1"/>
  <c r="BW2" i="9"/>
  <c r="BV8" i="9" s="1"/>
  <c r="CC8" i="9"/>
  <c r="CE2" i="9"/>
  <c r="N20" i="3"/>
  <c r="N45" i="3"/>
  <c r="BY9" i="9"/>
  <c r="BY10" i="9" s="1"/>
  <c r="BU9" i="9"/>
  <c r="BU10" i="9" s="1"/>
  <c r="O7" i="8"/>
  <c r="T7" i="8" s="1"/>
  <c r="BQ8" i="9"/>
  <c r="BQ9" i="9" s="1"/>
  <c r="BQ10" i="9" s="1"/>
  <c r="BS2" i="9"/>
  <c r="F50" i="3"/>
  <c r="N25" i="3"/>
  <c r="F25" i="3"/>
  <c r="T24" i="3"/>
  <c r="F49" i="3"/>
  <c r="N24" i="3"/>
  <c r="F24" i="3"/>
  <c r="P14" i="8"/>
  <c r="P13" i="8"/>
  <c r="P12" i="8"/>
  <c r="P11" i="8"/>
  <c r="P10" i="8"/>
  <c r="P9" i="8"/>
  <c r="P8" i="8"/>
  <c r="BM8" i="9"/>
  <c r="BM9" i="9" s="1"/>
  <c r="BM10" i="9" s="1"/>
  <c r="BO2" i="9"/>
  <c r="BI8" i="9"/>
  <c r="BI9" i="9" s="1"/>
  <c r="BI10" i="9" s="1"/>
  <c r="BI11" i="9" s="1"/>
  <c r="BI12" i="9" s="1"/>
  <c r="BI13" i="9" s="1"/>
  <c r="BK2" i="9"/>
  <c r="T48" i="3"/>
  <c r="BE8" i="9"/>
  <c r="BE9" i="9" s="1"/>
  <c r="BE10" i="9" s="1"/>
  <c r="BG2" i="9"/>
  <c r="N48" i="3"/>
  <c r="F48" i="3"/>
  <c r="F23" i="3"/>
  <c r="BA8" i="9"/>
  <c r="BA9" i="9" s="1"/>
  <c r="BC2" i="9"/>
  <c r="AW8" i="9"/>
  <c r="AW9" i="9" s="1"/>
  <c r="AW10" i="9" s="1"/>
  <c r="AY2" i="9"/>
  <c r="U21" i="3"/>
  <c r="N47" i="3"/>
  <c r="F47" i="3"/>
  <c r="T47" i="3"/>
  <c r="F22" i="3"/>
  <c r="AS8" i="9"/>
  <c r="AU2" i="9"/>
  <c r="AO8" i="9"/>
  <c r="AO9" i="9" s="1"/>
  <c r="AO10" i="9" s="1"/>
  <c r="AQ2" i="9"/>
  <c r="AK8" i="9"/>
  <c r="AK9" i="9" s="1"/>
  <c r="AM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G8" i="9"/>
  <c r="AG9" i="9" s="1"/>
  <c r="AI2" i="9"/>
  <c r="I7" i="8"/>
  <c r="J76" i="3"/>
  <c r="T76" i="3" s="1"/>
  <c r="J69" i="3"/>
  <c r="N69" i="3" s="1"/>
  <c r="J70" i="3"/>
  <c r="Q70" i="3" s="1"/>
  <c r="J68" i="3"/>
  <c r="Q68" i="3" s="1"/>
  <c r="L46" i="3"/>
  <c r="U46" i="3" s="1"/>
  <c r="T59" i="3"/>
  <c r="T58" i="3"/>
  <c r="U58" i="3"/>
  <c r="J14" i="3"/>
  <c r="I8" i="12"/>
  <c r="N8" i="12" s="1"/>
  <c r="I6" i="12"/>
  <c r="O6" i="12" s="1"/>
  <c r="I7" i="12"/>
  <c r="O7" i="12" s="1"/>
  <c r="T30" i="3"/>
  <c r="U30" i="3"/>
  <c r="AK2" i="5"/>
  <c r="AH8" i="5"/>
  <c r="L11" i="7"/>
  <c r="F11" i="7"/>
  <c r="F9" i="2"/>
  <c r="J8" i="2"/>
  <c r="M8" i="2" s="1"/>
  <c r="F8" i="2"/>
  <c r="A41" i="6"/>
  <c r="A40" i="6" s="1"/>
  <c r="A30" i="6"/>
  <c r="A29" i="6" s="1"/>
  <c r="A18" i="6"/>
  <c r="A17" i="6" s="1"/>
  <c r="A6" i="6"/>
  <c r="A5" i="6" s="1"/>
  <c r="C163" i="10"/>
  <c r="B163" i="10" s="1"/>
  <c r="C86" i="10"/>
  <c r="B86" i="10" s="1"/>
  <c r="T29" i="3"/>
  <c r="U29" i="3"/>
  <c r="T28" i="3"/>
  <c r="T57" i="3"/>
  <c r="T56" i="3"/>
  <c r="U28" i="3"/>
  <c r="U56" i="3"/>
  <c r="U57" i="3"/>
  <c r="F14" i="3"/>
  <c r="E8" i="12"/>
  <c r="U65" i="3"/>
  <c r="T27" i="3"/>
  <c r="T45" i="3"/>
  <c r="T46" i="3"/>
  <c r="T53" i="3"/>
  <c r="T54" i="3"/>
  <c r="T55" i="3"/>
  <c r="T65" i="3"/>
  <c r="F76" i="3"/>
  <c r="U27" i="3"/>
  <c r="U55" i="3"/>
  <c r="T25" i="3"/>
  <c r="AC8" i="5"/>
  <c r="AC9" i="5" s="1"/>
  <c r="AC10" i="5" s="1"/>
  <c r="AC11" i="5" s="1"/>
  <c r="AC12" i="5" s="1"/>
  <c r="AC13" i="5" s="1"/>
  <c r="AF2" i="5"/>
  <c r="L10" i="7"/>
  <c r="F10" i="7"/>
  <c r="U54" i="3"/>
  <c r="N8" i="9"/>
  <c r="N9" i="9" s="1"/>
  <c r="Q2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F70" i="3"/>
  <c r="K21" i="3"/>
  <c r="T21" i="3" s="1"/>
  <c r="F21" i="3"/>
  <c r="U53" i="3"/>
  <c r="K9" i="7"/>
  <c r="S9" i="7" s="1"/>
  <c r="H51" i="6"/>
  <c r="J67" i="3"/>
  <c r="U67" i="3" s="1"/>
  <c r="F69" i="3"/>
  <c r="S98" i="3"/>
  <c r="S97" i="3"/>
  <c r="F68" i="3"/>
  <c r="S96" i="3"/>
  <c r="F67" i="3"/>
  <c r="F46" i="3"/>
  <c r="F20" i="3"/>
  <c r="F45" i="3"/>
  <c r="U45" i="3"/>
  <c r="K7" i="7"/>
  <c r="N7" i="7" s="1"/>
  <c r="J7" i="3"/>
  <c r="R7" i="3" s="1"/>
  <c r="J7" i="2"/>
  <c r="K16" i="7"/>
  <c r="N16" i="7" s="1"/>
  <c r="K8" i="7"/>
  <c r="S8" i="7" s="1"/>
  <c r="J6" i="2"/>
  <c r="Q6" i="2" s="1"/>
  <c r="C3" i="7"/>
  <c r="C2" i="7"/>
  <c r="C1" i="7"/>
  <c r="C3" i="3"/>
  <c r="C1" i="3"/>
  <c r="B3" i="12"/>
  <c r="B2" i="12"/>
  <c r="B1" i="12"/>
  <c r="C3" i="2"/>
  <c r="C2" i="2"/>
  <c r="C1" i="2"/>
  <c r="F6" i="2"/>
  <c r="L7" i="2"/>
  <c r="Q7" i="2" s="1"/>
  <c r="J13" i="3"/>
  <c r="Q13" i="3" s="1"/>
  <c r="J12" i="3"/>
  <c r="R12" i="3" s="1"/>
  <c r="J11" i="3"/>
  <c r="N11" i="3" s="1"/>
  <c r="T12" i="3"/>
  <c r="T11" i="3"/>
  <c r="J8" i="3"/>
  <c r="Q8" i="3" s="1"/>
  <c r="J6" i="3"/>
  <c r="Q6" i="3" s="1"/>
  <c r="E10" i="12"/>
  <c r="F15" i="3"/>
  <c r="M24" i="7"/>
  <c r="F13" i="3"/>
  <c r="E7" i="12"/>
  <c r="P9" i="2"/>
  <c r="F11" i="3"/>
  <c r="L6" i="7"/>
  <c r="K6" i="7"/>
  <c r="S6" i="7" s="1"/>
  <c r="J10" i="3"/>
  <c r="N10" i="3" s="1"/>
  <c r="J9" i="3"/>
  <c r="N9" i="3" s="1"/>
  <c r="T10" i="3"/>
  <c r="T9" i="3"/>
  <c r="AA2" i="5"/>
  <c r="X8" i="5"/>
  <c r="X9" i="5" s="1"/>
  <c r="F16" i="7"/>
  <c r="K7" i="2"/>
  <c r="F7" i="2"/>
  <c r="F12" i="3"/>
  <c r="F10" i="3"/>
  <c r="S8" i="5"/>
  <c r="V2" i="5"/>
  <c r="L9" i="7"/>
  <c r="F9" i="7"/>
  <c r="J6" i="12"/>
  <c r="E6" i="12"/>
  <c r="P11" i="12"/>
  <c r="G2" i="5"/>
  <c r="L8" i="3"/>
  <c r="L6" i="3"/>
  <c r="T8" i="3"/>
  <c r="T6" i="3"/>
  <c r="F9" i="3"/>
  <c r="F8" i="3"/>
  <c r="D237" i="8"/>
  <c r="C237" i="8"/>
  <c r="B237" i="8"/>
  <c r="A237" i="8"/>
  <c r="D236" i="8"/>
  <c r="C236" i="8"/>
  <c r="B236" i="8"/>
  <c r="A236" i="8"/>
  <c r="D235" i="8"/>
  <c r="C235" i="8"/>
  <c r="B235" i="8"/>
  <c r="A235" i="8"/>
  <c r="D234" i="8"/>
  <c r="C234" i="8"/>
  <c r="B234" i="8"/>
  <c r="A234" i="8"/>
  <c r="D233" i="8"/>
  <c r="C233" i="8"/>
  <c r="B233" i="8"/>
  <c r="A233" i="8"/>
  <c r="D232" i="8"/>
  <c r="C232" i="8"/>
  <c r="B232" i="8"/>
  <c r="A232" i="8"/>
  <c r="D231" i="8"/>
  <c r="C231" i="8"/>
  <c r="B231" i="8"/>
  <c r="A231" i="8"/>
  <c r="D230" i="8"/>
  <c r="C230" i="8"/>
  <c r="B230" i="8"/>
  <c r="A230" i="8"/>
  <c r="D229" i="8"/>
  <c r="C229" i="8"/>
  <c r="B229" i="8"/>
  <c r="A229" i="8"/>
  <c r="D228" i="8"/>
  <c r="C228" i="8"/>
  <c r="B228" i="8"/>
  <c r="A228" i="8"/>
  <c r="D227" i="8"/>
  <c r="C227" i="8"/>
  <c r="B227" i="8"/>
  <c r="A227" i="8"/>
  <c r="D226" i="8"/>
  <c r="C226" i="8"/>
  <c r="B226" i="8"/>
  <c r="A226" i="8"/>
  <c r="D225" i="8"/>
  <c r="C225" i="8"/>
  <c r="B225" i="8"/>
  <c r="A225" i="8"/>
  <c r="D224" i="8"/>
  <c r="C224" i="8"/>
  <c r="B224" i="8"/>
  <c r="A224" i="8"/>
  <c r="D223" i="8"/>
  <c r="C223" i="8"/>
  <c r="B223" i="8"/>
  <c r="A223" i="8"/>
  <c r="D222" i="8"/>
  <c r="C222" i="8"/>
  <c r="B222" i="8"/>
  <c r="A222" i="8"/>
  <c r="D221" i="8"/>
  <c r="C221" i="8"/>
  <c r="B221" i="8"/>
  <c r="A221" i="8"/>
  <c r="D220" i="8"/>
  <c r="C220" i="8"/>
  <c r="B220" i="8"/>
  <c r="A220" i="8"/>
  <c r="D219" i="8"/>
  <c r="C219" i="8"/>
  <c r="B219" i="8"/>
  <c r="A219" i="8"/>
  <c r="D218" i="8"/>
  <c r="C218" i="8"/>
  <c r="B218" i="8"/>
  <c r="A218" i="8"/>
  <c r="D217" i="8"/>
  <c r="C217" i="8"/>
  <c r="B217" i="8"/>
  <c r="A217" i="8"/>
  <c r="D216" i="8"/>
  <c r="C216" i="8"/>
  <c r="B216" i="8"/>
  <c r="A216" i="8"/>
  <c r="D215" i="8"/>
  <c r="C215" i="8"/>
  <c r="B215" i="8"/>
  <c r="A215" i="8"/>
  <c r="D214" i="8"/>
  <c r="C214" i="8"/>
  <c r="B214" i="8"/>
  <c r="A214" i="8"/>
  <c r="D213" i="8"/>
  <c r="C213" i="8"/>
  <c r="B213" i="8"/>
  <c r="A213" i="8"/>
  <c r="D212" i="8"/>
  <c r="C212" i="8"/>
  <c r="B212" i="8"/>
  <c r="A212" i="8"/>
  <c r="D211" i="8"/>
  <c r="C211" i="8"/>
  <c r="B211" i="8"/>
  <c r="A211" i="8"/>
  <c r="D210" i="8"/>
  <c r="C210" i="8"/>
  <c r="B210" i="8"/>
  <c r="A210" i="8"/>
  <c r="D209" i="8"/>
  <c r="C209" i="8"/>
  <c r="B209" i="8"/>
  <c r="A209" i="8"/>
  <c r="D208" i="8"/>
  <c r="C208" i="8"/>
  <c r="B208" i="8"/>
  <c r="A208" i="8"/>
  <c r="D207" i="8"/>
  <c r="C207" i="8"/>
  <c r="B207" i="8"/>
  <c r="A207" i="8"/>
  <c r="D206" i="8"/>
  <c r="C206" i="8"/>
  <c r="B206" i="8"/>
  <c r="A206" i="8"/>
  <c r="D205" i="8"/>
  <c r="C205" i="8"/>
  <c r="B205" i="8"/>
  <c r="A205" i="8"/>
  <c r="D204" i="8"/>
  <c r="C204" i="8"/>
  <c r="B204" i="8"/>
  <c r="A204" i="8"/>
  <c r="D203" i="8"/>
  <c r="C203" i="8"/>
  <c r="B203" i="8"/>
  <c r="A203" i="8"/>
  <c r="D202" i="8"/>
  <c r="C202" i="8"/>
  <c r="B202" i="8"/>
  <c r="A202" i="8"/>
  <c r="D201" i="8"/>
  <c r="C201" i="8"/>
  <c r="B201" i="8"/>
  <c r="A201" i="8"/>
  <c r="D200" i="8"/>
  <c r="C200" i="8"/>
  <c r="B200" i="8"/>
  <c r="A200" i="8"/>
  <c r="D199" i="8"/>
  <c r="C199" i="8"/>
  <c r="B199" i="8"/>
  <c r="A199" i="8"/>
  <c r="D198" i="8"/>
  <c r="C198" i="8"/>
  <c r="B198" i="8"/>
  <c r="A198" i="8"/>
  <c r="D197" i="8"/>
  <c r="C197" i="8"/>
  <c r="B197" i="8"/>
  <c r="A197" i="8"/>
  <c r="D196" i="8"/>
  <c r="C196" i="8"/>
  <c r="B196" i="8"/>
  <c r="A196" i="8"/>
  <c r="D195" i="8"/>
  <c r="C195" i="8"/>
  <c r="B195" i="8"/>
  <c r="A195" i="8"/>
  <c r="D194" i="8"/>
  <c r="C194" i="8"/>
  <c r="B194" i="8"/>
  <c r="A194" i="8"/>
  <c r="D193" i="8"/>
  <c r="C193" i="8"/>
  <c r="B193" i="8"/>
  <c r="A193" i="8"/>
  <c r="D192" i="8"/>
  <c r="C192" i="8"/>
  <c r="B192" i="8"/>
  <c r="A192" i="8"/>
  <c r="D191" i="8"/>
  <c r="C191" i="8"/>
  <c r="B191" i="8"/>
  <c r="A191" i="8"/>
  <c r="D190" i="8"/>
  <c r="C190" i="8"/>
  <c r="B190" i="8"/>
  <c r="A190" i="8"/>
  <c r="D189" i="8"/>
  <c r="C189" i="8"/>
  <c r="B189" i="8"/>
  <c r="A189" i="8"/>
  <c r="D188" i="8"/>
  <c r="C188" i="8"/>
  <c r="B188" i="8"/>
  <c r="A188" i="8"/>
  <c r="D187" i="8"/>
  <c r="C187" i="8"/>
  <c r="B187" i="8"/>
  <c r="A187" i="8"/>
  <c r="D186" i="8"/>
  <c r="C186" i="8"/>
  <c r="B186" i="8"/>
  <c r="A186" i="8"/>
  <c r="D185" i="8"/>
  <c r="C185" i="8"/>
  <c r="B185" i="8"/>
  <c r="A185" i="8"/>
  <c r="D184" i="8"/>
  <c r="C184" i="8"/>
  <c r="B184" i="8"/>
  <c r="A184" i="8"/>
  <c r="D183" i="8"/>
  <c r="C183" i="8"/>
  <c r="B183" i="8"/>
  <c r="A183" i="8"/>
  <c r="D182" i="8"/>
  <c r="C182" i="8"/>
  <c r="B182" i="8"/>
  <c r="A182" i="8"/>
  <c r="D181" i="8"/>
  <c r="C181" i="8"/>
  <c r="B181" i="8"/>
  <c r="A181" i="8"/>
  <c r="D180" i="8"/>
  <c r="C180" i="8"/>
  <c r="B180" i="8"/>
  <c r="A180" i="8"/>
  <c r="D179" i="8"/>
  <c r="C179" i="8"/>
  <c r="B179" i="8"/>
  <c r="A179" i="8"/>
  <c r="D178" i="8"/>
  <c r="C178" i="8"/>
  <c r="B178" i="8"/>
  <c r="A178" i="8"/>
  <c r="D177" i="8"/>
  <c r="C177" i="8"/>
  <c r="B177" i="8"/>
  <c r="A177" i="8"/>
  <c r="D176" i="8"/>
  <c r="C176" i="8"/>
  <c r="B176" i="8"/>
  <c r="A176" i="8"/>
  <c r="D175" i="8"/>
  <c r="C175" i="8"/>
  <c r="B175" i="8"/>
  <c r="A175" i="8"/>
  <c r="D174" i="8"/>
  <c r="C174" i="8"/>
  <c r="B174" i="8"/>
  <c r="A174" i="8"/>
  <c r="D173" i="8"/>
  <c r="C173" i="8"/>
  <c r="B173" i="8"/>
  <c r="A173" i="8"/>
  <c r="D172" i="8"/>
  <c r="C172" i="8"/>
  <c r="B172" i="8"/>
  <c r="A172" i="8"/>
  <c r="D171" i="8"/>
  <c r="C171" i="8"/>
  <c r="B171" i="8"/>
  <c r="A171" i="8"/>
  <c r="D170" i="8"/>
  <c r="C170" i="8"/>
  <c r="B170" i="8"/>
  <c r="A170" i="8"/>
  <c r="D169" i="8"/>
  <c r="C169" i="8"/>
  <c r="B169" i="8"/>
  <c r="A169" i="8"/>
  <c r="D168" i="8"/>
  <c r="C168" i="8"/>
  <c r="B168" i="8"/>
  <c r="A168" i="8"/>
  <c r="D167" i="8"/>
  <c r="C167" i="8"/>
  <c r="B167" i="8"/>
  <c r="A167" i="8"/>
  <c r="D166" i="8"/>
  <c r="C166" i="8"/>
  <c r="B166" i="8"/>
  <c r="A166" i="8"/>
  <c r="D165" i="8"/>
  <c r="C165" i="8"/>
  <c r="B165" i="8"/>
  <c r="A165" i="8"/>
  <c r="D164" i="8"/>
  <c r="C164" i="8"/>
  <c r="B164" i="8"/>
  <c r="A164" i="8"/>
  <c r="D163" i="8"/>
  <c r="C163" i="8"/>
  <c r="B163" i="8"/>
  <c r="A163" i="8"/>
  <c r="D162" i="8"/>
  <c r="C162" i="8"/>
  <c r="B162" i="8"/>
  <c r="A162" i="8"/>
  <c r="D161" i="8"/>
  <c r="C161" i="8"/>
  <c r="B161" i="8"/>
  <c r="A161" i="8"/>
  <c r="D160" i="8"/>
  <c r="C160" i="8"/>
  <c r="B160" i="8"/>
  <c r="A160" i="8"/>
  <c r="D159" i="8"/>
  <c r="C159" i="8"/>
  <c r="B159" i="8"/>
  <c r="A159" i="8"/>
  <c r="D158" i="8"/>
  <c r="C158" i="8"/>
  <c r="B158" i="8"/>
  <c r="A158" i="8"/>
  <c r="D157" i="8"/>
  <c r="C157" i="8"/>
  <c r="B157" i="8"/>
  <c r="A157" i="8"/>
  <c r="D156" i="8"/>
  <c r="C156" i="8"/>
  <c r="B156" i="8"/>
  <c r="A156" i="8"/>
  <c r="D155" i="8"/>
  <c r="C155" i="8"/>
  <c r="B155" i="8"/>
  <c r="A155" i="8"/>
  <c r="D154" i="8"/>
  <c r="C154" i="8"/>
  <c r="B154" i="8"/>
  <c r="A154" i="8"/>
  <c r="D153" i="8"/>
  <c r="C153" i="8"/>
  <c r="B153" i="8"/>
  <c r="A153" i="8"/>
  <c r="D152" i="8"/>
  <c r="C152" i="8"/>
  <c r="B152" i="8"/>
  <c r="A152" i="8"/>
  <c r="D151" i="8"/>
  <c r="C151" i="8"/>
  <c r="B151" i="8"/>
  <c r="A151" i="8"/>
  <c r="D150" i="8"/>
  <c r="C150" i="8"/>
  <c r="B150" i="8"/>
  <c r="A150" i="8"/>
  <c r="D149" i="8"/>
  <c r="C149" i="8"/>
  <c r="B149" i="8"/>
  <c r="A149" i="8"/>
  <c r="D148" i="8"/>
  <c r="C148" i="8"/>
  <c r="B148" i="8"/>
  <c r="A148" i="8"/>
  <c r="D147" i="8"/>
  <c r="C147" i="8"/>
  <c r="B147" i="8"/>
  <c r="A147" i="8"/>
  <c r="D146" i="8"/>
  <c r="C146" i="8"/>
  <c r="B146" i="8"/>
  <c r="A146" i="8"/>
  <c r="D145" i="8"/>
  <c r="C145" i="8"/>
  <c r="B145" i="8"/>
  <c r="A145" i="8"/>
  <c r="D144" i="8"/>
  <c r="C144" i="8"/>
  <c r="B144" i="8"/>
  <c r="A144" i="8"/>
  <c r="D143" i="8"/>
  <c r="C143" i="8"/>
  <c r="B143" i="8"/>
  <c r="A143" i="8"/>
  <c r="D142" i="8"/>
  <c r="C142" i="8"/>
  <c r="B142" i="8"/>
  <c r="A142" i="8"/>
  <c r="D141" i="8"/>
  <c r="C141" i="8"/>
  <c r="B141" i="8"/>
  <c r="A141" i="8"/>
  <c r="D140" i="8"/>
  <c r="C140" i="8"/>
  <c r="B140" i="8"/>
  <c r="A140" i="8"/>
  <c r="D139" i="8"/>
  <c r="C139" i="8"/>
  <c r="B139" i="8"/>
  <c r="A139" i="8"/>
  <c r="D138" i="8"/>
  <c r="C138" i="8"/>
  <c r="B138" i="8"/>
  <c r="A138" i="8"/>
  <c r="D137" i="8"/>
  <c r="C137" i="8"/>
  <c r="B137" i="8"/>
  <c r="A137" i="8"/>
  <c r="D136" i="8"/>
  <c r="C136" i="8"/>
  <c r="B136" i="8"/>
  <c r="A136" i="8"/>
  <c r="D135" i="8"/>
  <c r="C135" i="8"/>
  <c r="B135" i="8"/>
  <c r="A135" i="8"/>
  <c r="D134" i="8"/>
  <c r="C134" i="8"/>
  <c r="B134" i="8"/>
  <c r="A134" i="8"/>
  <c r="D133" i="8"/>
  <c r="C133" i="8"/>
  <c r="B133" i="8"/>
  <c r="A133" i="8"/>
  <c r="D132" i="8"/>
  <c r="C132" i="8"/>
  <c r="B132" i="8"/>
  <c r="A132" i="8"/>
  <c r="D131" i="8"/>
  <c r="C131" i="8"/>
  <c r="B131" i="8"/>
  <c r="A131" i="8"/>
  <c r="D130" i="8"/>
  <c r="C130" i="8"/>
  <c r="B130" i="8"/>
  <c r="A130" i="8"/>
  <c r="D129" i="8"/>
  <c r="C129" i="8"/>
  <c r="B129" i="8"/>
  <c r="A129" i="8"/>
  <c r="D128" i="8"/>
  <c r="C128" i="8"/>
  <c r="B128" i="8"/>
  <c r="A128" i="8"/>
  <c r="D127" i="8"/>
  <c r="C127" i="8"/>
  <c r="B127" i="8"/>
  <c r="A127" i="8"/>
  <c r="D126" i="8"/>
  <c r="C126" i="8"/>
  <c r="B126" i="8"/>
  <c r="A126" i="8"/>
  <c r="D125" i="8"/>
  <c r="C125" i="8"/>
  <c r="B125" i="8"/>
  <c r="A125" i="8"/>
  <c r="D124" i="8"/>
  <c r="C124" i="8"/>
  <c r="B124" i="8"/>
  <c r="A124" i="8"/>
  <c r="D123" i="8"/>
  <c r="C123" i="8"/>
  <c r="B123" i="8"/>
  <c r="A123" i="8"/>
  <c r="D122" i="8"/>
  <c r="C122" i="8"/>
  <c r="B122" i="8"/>
  <c r="A122" i="8"/>
  <c r="D121" i="8"/>
  <c r="C121" i="8"/>
  <c r="B121" i="8"/>
  <c r="A121" i="8"/>
  <c r="D120" i="8"/>
  <c r="C120" i="8"/>
  <c r="B120" i="8"/>
  <c r="A120" i="8"/>
  <c r="D119" i="8"/>
  <c r="C119" i="8"/>
  <c r="B119" i="8"/>
  <c r="A119" i="8"/>
  <c r="D118" i="8"/>
  <c r="C118" i="8"/>
  <c r="B118" i="8"/>
  <c r="A118" i="8"/>
  <c r="D117" i="8"/>
  <c r="C117" i="8"/>
  <c r="B117" i="8"/>
  <c r="A117" i="8"/>
  <c r="D116" i="8"/>
  <c r="C116" i="8"/>
  <c r="B116" i="8"/>
  <c r="A116" i="8"/>
  <c r="D115" i="8"/>
  <c r="C115" i="8"/>
  <c r="B115" i="8"/>
  <c r="A115" i="8"/>
  <c r="D114" i="8"/>
  <c r="C114" i="8"/>
  <c r="B114" i="8"/>
  <c r="A114" i="8"/>
  <c r="D113" i="8"/>
  <c r="C113" i="8"/>
  <c r="B113" i="8"/>
  <c r="A113" i="8"/>
  <c r="D112" i="8"/>
  <c r="C112" i="8"/>
  <c r="B112" i="8"/>
  <c r="A112" i="8"/>
  <c r="D111" i="8"/>
  <c r="C111" i="8"/>
  <c r="B111" i="8"/>
  <c r="A111" i="8"/>
  <c r="D110" i="8"/>
  <c r="C110" i="8"/>
  <c r="B110" i="8"/>
  <c r="A110" i="8"/>
  <c r="D109" i="8"/>
  <c r="C109" i="8"/>
  <c r="B109" i="8"/>
  <c r="A109" i="8"/>
  <c r="D108" i="8"/>
  <c r="C108" i="8"/>
  <c r="B108" i="8"/>
  <c r="A108" i="8"/>
  <c r="D107" i="8"/>
  <c r="C107" i="8"/>
  <c r="B107" i="8"/>
  <c r="A107" i="8"/>
  <c r="D106" i="8"/>
  <c r="C106" i="8"/>
  <c r="B106" i="8"/>
  <c r="A106" i="8"/>
  <c r="D105" i="8"/>
  <c r="C105" i="8"/>
  <c r="B105" i="8"/>
  <c r="A105" i="8"/>
  <c r="D104" i="8"/>
  <c r="C104" i="8"/>
  <c r="B104" i="8"/>
  <c r="A104" i="8"/>
  <c r="D103" i="8"/>
  <c r="C103" i="8"/>
  <c r="B103" i="8"/>
  <c r="A103" i="8"/>
  <c r="D102" i="8"/>
  <c r="C102" i="8"/>
  <c r="B102" i="8"/>
  <c r="A102" i="8"/>
  <c r="D101" i="8"/>
  <c r="C101" i="8"/>
  <c r="B101" i="8"/>
  <c r="A101" i="8"/>
  <c r="D100" i="8"/>
  <c r="C100" i="8"/>
  <c r="B100" i="8"/>
  <c r="A100" i="8"/>
  <c r="D99" i="8"/>
  <c r="C99" i="8"/>
  <c r="B99" i="8"/>
  <c r="A99" i="8"/>
  <c r="D98" i="8"/>
  <c r="C98" i="8"/>
  <c r="B98" i="8"/>
  <c r="A98" i="8"/>
  <c r="D97" i="8"/>
  <c r="C97" i="8"/>
  <c r="B97" i="8"/>
  <c r="A97" i="8"/>
  <c r="D96" i="8"/>
  <c r="C96" i="8"/>
  <c r="B96" i="8"/>
  <c r="A96" i="8"/>
  <c r="D95" i="8"/>
  <c r="C95" i="8"/>
  <c r="B95" i="8"/>
  <c r="A95" i="8"/>
  <c r="D94" i="8"/>
  <c r="C94" i="8"/>
  <c r="B94" i="8"/>
  <c r="A94" i="8"/>
  <c r="D93" i="8"/>
  <c r="C93" i="8"/>
  <c r="B93" i="8"/>
  <c r="A93" i="8"/>
  <c r="A92" i="8"/>
  <c r="D91" i="8"/>
  <c r="C91" i="8"/>
  <c r="B91" i="8"/>
  <c r="A91" i="8"/>
  <c r="D90" i="8"/>
  <c r="C90" i="8"/>
  <c r="B90" i="8"/>
  <c r="A90" i="8"/>
  <c r="D89" i="8"/>
  <c r="C89" i="8"/>
  <c r="B89" i="8"/>
  <c r="A89" i="8"/>
  <c r="D88" i="8"/>
  <c r="C88" i="8"/>
  <c r="B88" i="8"/>
  <c r="A88" i="8"/>
  <c r="D87" i="8"/>
  <c r="C87" i="8"/>
  <c r="B87" i="8"/>
  <c r="A87" i="8"/>
  <c r="D86" i="8"/>
  <c r="C86" i="8"/>
  <c r="B86" i="8"/>
  <c r="A86" i="8"/>
  <c r="D85" i="8"/>
  <c r="C85" i="8"/>
  <c r="B85" i="8"/>
  <c r="A85" i="8"/>
  <c r="D84" i="8"/>
  <c r="C84" i="8"/>
  <c r="B84" i="8"/>
  <c r="A84" i="8"/>
  <c r="D79" i="8"/>
  <c r="C79" i="8"/>
  <c r="B79" i="8"/>
  <c r="A79" i="8"/>
  <c r="F8" i="7"/>
  <c r="F7" i="7"/>
  <c r="F6" i="7"/>
  <c r="N8" i="5"/>
  <c r="N9" i="5" s="1"/>
  <c r="I8" i="5"/>
  <c r="I9" i="5" s="1"/>
  <c r="I10" i="5" s="1"/>
  <c r="I11" i="5" s="1"/>
  <c r="I12" i="5" s="1"/>
  <c r="D8" i="5"/>
  <c r="D9" i="5" s="1"/>
  <c r="Q2" i="5"/>
  <c r="L2" i="5"/>
  <c r="K6" i="2"/>
  <c r="K7" i="3"/>
  <c r="F7" i="3"/>
  <c r="F6" i="3"/>
  <c r="H52" i="6"/>
  <c r="S13" i="7" l="1"/>
  <c r="S2" i="8"/>
  <c r="T81" i="3"/>
  <c r="LQ29" i="9"/>
  <c r="LR29" i="9" s="1"/>
  <c r="R7" i="7"/>
  <c r="T53" i="8"/>
  <c r="U65" i="8"/>
  <c r="JZ8" i="9"/>
  <c r="U64" i="8"/>
  <c r="U51" i="8"/>
  <c r="KD8" i="9"/>
  <c r="JN8" i="9"/>
  <c r="U67" i="8"/>
  <c r="LM23" i="9"/>
  <c r="LN23" i="9" s="1"/>
  <c r="U21" i="8"/>
  <c r="JB8" i="9"/>
  <c r="N8" i="7"/>
  <c r="T8" i="8"/>
  <c r="R8" i="7"/>
  <c r="S7" i="7"/>
  <c r="N68" i="3"/>
  <c r="N87" i="3" s="1"/>
  <c r="Q7" i="3"/>
  <c r="U40" i="8"/>
  <c r="U39" i="8"/>
  <c r="T23" i="3"/>
  <c r="U19" i="8"/>
  <c r="U33" i="8"/>
  <c r="U62" i="8"/>
  <c r="T19" i="8"/>
  <c r="LI20" i="9"/>
  <c r="LJ20" i="9" s="1"/>
  <c r="N6" i="12"/>
  <c r="U23" i="3"/>
  <c r="L7" i="12"/>
  <c r="L8" i="12"/>
  <c r="U51" i="3"/>
  <c r="FF8" i="9"/>
  <c r="U60" i="8"/>
  <c r="T62" i="3"/>
  <c r="N67" i="3"/>
  <c r="U26" i="3"/>
  <c r="T26" i="3"/>
  <c r="JJ8" i="9"/>
  <c r="KL8" i="9"/>
  <c r="T15" i="8"/>
  <c r="U55" i="8"/>
  <c r="JN11" i="9"/>
  <c r="N11" i="7"/>
  <c r="U15" i="8"/>
  <c r="IX8" i="9"/>
  <c r="U28" i="8"/>
  <c r="AM25" i="7"/>
  <c r="P6" i="2"/>
  <c r="F234" i="8"/>
  <c r="L6" i="12"/>
  <c r="O14" i="12" s="1"/>
  <c r="U70" i="3"/>
  <c r="T69" i="3"/>
  <c r="DR8" i="9"/>
  <c r="N76" i="3"/>
  <c r="N78" i="3" s="1"/>
  <c r="T50" i="3"/>
  <c r="KL11" i="9"/>
  <c r="AS8" i="5"/>
  <c r="N8" i="3"/>
  <c r="R6" i="3"/>
  <c r="N10" i="7"/>
  <c r="U8" i="8"/>
  <c r="IH9" i="9"/>
  <c r="U59" i="8"/>
  <c r="U22" i="3"/>
  <c r="U50" i="8"/>
  <c r="N6" i="3"/>
  <c r="N70" i="3"/>
  <c r="T70" i="3"/>
  <c r="U14" i="8"/>
  <c r="CP9" i="9"/>
  <c r="DZ8" i="9"/>
  <c r="EL9" i="9"/>
  <c r="GT8" i="9"/>
  <c r="HZ12" i="9"/>
  <c r="JI9" i="9"/>
  <c r="JI10" i="9" s="1"/>
  <c r="JI11" i="9" s="1"/>
  <c r="LE18" i="9"/>
  <c r="LF18" i="9" s="1"/>
  <c r="IG10" i="9"/>
  <c r="IH10" i="9" s="1"/>
  <c r="JZ9" i="9"/>
  <c r="AX8" i="5"/>
  <c r="IH8" i="9"/>
  <c r="IL8" i="9"/>
  <c r="F202" i="8"/>
  <c r="CD8" i="9"/>
  <c r="FV8" i="9"/>
  <c r="ID8" i="9"/>
  <c r="T67" i="3"/>
  <c r="F155" i="8"/>
  <c r="IT9" i="9"/>
  <c r="S117" i="8"/>
  <c r="U7" i="8"/>
  <c r="R9" i="7"/>
  <c r="BF9" i="9"/>
  <c r="CL8" i="9"/>
  <c r="DJ10" i="9"/>
  <c r="DV8" i="9"/>
  <c r="ET8" i="9"/>
  <c r="U9" i="8"/>
  <c r="CP8" i="9"/>
  <c r="DJ14" i="9"/>
  <c r="U23" i="8"/>
  <c r="N7" i="12"/>
  <c r="U68" i="3"/>
  <c r="T68" i="3"/>
  <c r="AH8" i="9"/>
  <c r="T8" i="9" s="1"/>
  <c r="A257" i="9" s="1"/>
  <c r="AL8" i="9"/>
  <c r="T22" i="3"/>
  <c r="U13" i="8"/>
  <c r="T49" i="3"/>
  <c r="ET9" i="9"/>
  <c r="EP9" i="9"/>
  <c r="FB8" i="9"/>
  <c r="GD8" i="9"/>
  <c r="U44" i="8"/>
  <c r="GH8" i="9"/>
  <c r="U62" i="3"/>
  <c r="GP9" i="9"/>
  <c r="U49" i="8"/>
  <c r="HJ9" i="9"/>
  <c r="U57" i="8"/>
  <c r="KH14" i="9"/>
  <c r="H53" i="6"/>
  <c r="F177" i="8"/>
  <c r="F186" i="8"/>
  <c r="F194" i="8"/>
  <c r="F210" i="8"/>
  <c r="F218" i="8"/>
  <c r="F226" i="8"/>
  <c r="U69" i="3"/>
  <c r="O8" i="12"/>
  <c r="EH8" i="9"/>
  <c r="R8" i="3"/>
  <c r="R6" i="7"/>
  <c r="U49" i="3"/>
  <c r="CH8" i="9"/>
  <c r="DJ9" i="9"/>
  <c r="U25" i="8"/>
  <c r="U18" i="8"/>
  <c r="U43" i="8"/>
  <c r="U42" i="8"/>
  <c r="HN8" i="9"/>
  <c r="HR8" i="9"/>
  <c r="IX9" i="9"/>
  <c r="JN10" i="9"/>
  <c r="U66" i="8"/>
  <c r="KH8" i="9"/>
  <c r="R10" i="7"/>
  <c r="KX8" i="9"/>
  <c r="FI10" i="9"/>
  <c r="FJ10" i="9" s="1"/>
  <c r="FJ9" i="9"/>
  <c r="F237" i="8"/>
  <c r="R16" i="7"/>
  <c r="F230" i="8"/>
  <c r="F238" i="8"/>
  <c r="N13" i="3"/>
  <c r="Q9" i="3"/>
  <c r="R9" i="3"/>
  <c r="AT8" i="9"/>
  <c r="N50" i="3"/>
  <c r="BV10" i="9"/>
  <c r="BV9" i="9"/>
  <c r="CO10" i="9"/>
  <c r="CP10" i="9" s="1"/>
  <c r="DI15" i="9"/>
  <c r="DJ15" i="9" s="1"/>
  <c r="EL8" i="9"/>
  <c r="FJ8" i="9"/>
  <c r="U41" i="8"/>
  <c r="FR8" i="9"/>
  <c r="HN10" i="9"/>
  <c r="KH13" i="9"/>
  <c r="F229" i="8"/>
  <c r="F233" i="8"/>
  <c r="N7" i="3"/>
  <c r="F123" i="8"/>
  <c r="N9" i="7"/>
  <c r="S10" i="7"/>
  <c r="U76" i="3"/>
  <c r="N14" i="3"/>
  <c r="BB8" i="9"/>
  <c r="BJ8" i="9"/>
  <c r="U24" i="8"/>
  <c r="U30" i="8"/>
  <c r="ED8" i="9"/>
  <c r="U34" i="8"/>
  <c r="GP10" i="9"/>
  <c r="HZ8" i="9"/>
  <c r="IP9" i="9"/>
  <c r="KH9" i="9"/>
  <c r="AD8" i="5"/>
  <c r="CL9" i="9"/>
  <c r="CX8" i="9"/>
  <c r="U16" i="8"/>
  <c r="FN8" i="9"/>
  <c r="GL8" i="9"/>
  <c r="HJ8" i="9"/>
  <c r="N10" i="5"/>
  <c r="N11" i="5" s="1"/>
  <c r="N12" i="5" s="1"/>
  <c r="O9" i="5"/>
  <c r="O8" i="5"/>
  <c r="F112" i="8"/>
  <c r="F115" i="8"/>
  <c r="KG21" i="9"/>
  <c r="KH20" i="9"/>
  <c r="J10" i="5"/>
  <c r="EH9" i="9"/>
  <c r="EG10" i="9"/>
  <c r="EG11" i="9" s="1"/>
  <c r="EG12" i="9" s="1"/>
  <c r="FI11" i="9"/>
  <c r="FI12" i="9" s="1"/>
  <c r="FJ12" i="9" s="1"/>
  <c r="HF10" i="9"/>
  <c r="J9" i="5"/>
  <c r="BQ11" i="9"/>
  <c r="BR11" i="9" s="1"/>
  <c r="BR10" i="9"/>
  <c r="BZ10" i="9"/>
  <c r="BY11" i="9"/>
  <c r="EC10" i="9"/>
  <c r="EC11" i="9" s="1"/>
  <c r="ED11" i="9" s="1"/>
  <c r="ED9" i="9"/>
  <c r="FF9" i="9"/>
  <c r="FE10" i="9"/>
  <c r="KC10" i="9"/>
  <c r="KD9" i="9"/>
  <c r="KO11" i="9"/>
  <c r="KO12" i="9" s="1"/>
  <c r="KP10" i="9"/>
  <c r="AP8" i="9"/>
  <c r="CC9" i="9"/>
  <c r="FZ10" i="9"/>
  <c r="KP9" i="9"/>
  <c r="N12" i="3"/>
  <c r="S16" i="7"/>
  <c r="Q12" i="3"/>
  <c r="P7" i="2"/>
  <c r="AP9" i="9"/>
  <c r="AS9" i="9"/>
  <c r="AX9" i="9"/>
  <c r="BR8" i="9"/>
  <c r="U11" i="8"/>
  <c r="DJ12" i="9"/>
  <c r="DJ8" i="9"/>
  <c r="EK10" i="9"/>
  <c r="FZ9" i="9"/>
  <c r="GD9" i="9"/>
  <c r="HB8" i="9"/>
  <c r="HR10" i="9"/>
  <c r="ID10" i="9"/>
  <c r="IT8" i="9"/>
  <c r="JM12" i="9"/>
  <c r="JM13" i="9" s="1"/>
  <c r="KH18" i="9"/>
  <c r="KH10" i="9"/>
  <c r="JR8" i="9"/>
  <c r="KL9" i="9"/>
  <c r="F120" i="8"/>
  <c r="F128" i="8"/>
  <c r="F131" i="8"/>
  <c r="F136" i="8"/>
  <c r="F139" i="8"/>
  <c r="F144" i="8"/>
  <c r="F147" i="8"/>
  <c r="F152" i="8"/>
  <c r="F160" i="8"/>
  <c r="F163" i="8"/>
  <c r="F168" i="8"/>
  <c r="F171" i="8"/>
  <c r="F176" i="8"/>
  <c r="F181" i="8"/>
  <c r="F182" i="8"/>
  <c r="F185" i="8"/>
  <c r="F189" i="8"/>
  <c r="F190" i="8"/>
  <c r="F193" i="8"/>
  <c r="F197" i="8"/>
  <c r="F198" i="8"/>
  <c r="F201" i="8"/>
  <c r="F205" i="8"/>
  <c r="F206" i="8"/>
  <c r="F209" i="8"/>
  <c r="F213" i="8"/>
  <c r="F214" i="8"/>
  <c r="F217" i="8"/>
  <c r="F221" i="8"/>
  <c r="F222" i="8"/>
  <c r="F225" i="8"/>
  <c r="GP8" i="9"/>
  <c r="HF9" i="9"/>
  <c r="HZ10" i="9"/>
  <c r="ID12" i="9"/>
  <c r="ID9" i="9"/>
  <c r="IP8" i="9"/>
  <c r="JN9" i="9"/>
  <c r="KH16" i="9"/>
  <c r="KL10" i="9"/>
  <c r="AI8" i="5"/>
  <c r="BN8" i="9"/>
  <c r="BN9" i="9"/>
  <c r="U10" i="8"/>
  <c r="BR9" i="9"/>
  <c r="BZ9" i="9"/>
  <c r="CH22" i="9"/>
  <c r="U12" i="8"/>
  <c r="ES10" i="9"/>
  <c r="FV9" i="9"/>
  <c r="T46" i="8"/>
  <c r="ID13" i="9"/>
  <c r="ID18" i="9"/>
  <c r="IT10" i="9"/>
  <c r="KL12" i="9"/>
  <c r="KP8" i="9"/>
  <c r="LA15" i="9"/>
  <c r="LB15" i="9" s="1"/>
  <c r="F111" i="8"/>
  <c r="F119" i="8"/>
  <c r="F124" i="8"/>
  <c r="F132" i="8"/>
  <c r="F148" i="8"/>
  <c r="F156" i="8"/>
  <c r="F164" i="8"/>
  <c r="F172" i="8"/>
  <c r="F180" i="8"/>
  <c r="F184" i="8"/>
  <c r="F188" i="8"/>
  <c r="F192" i="8"/>
  <c r="F195" i="8"/>
  <c r="F199" i="8"/>
  <c r="F203" i="8"/>
  <c r="F207" i="8"/>
  <c r="F211" i="8"/>
  <c r="F215" i="8"/>
  <c r="F220" i="8"/>
  <c r="F223" i="8"/>
  <c r="F227" i="8"/>
  <c r="F231" i="8"/>
  <c r="F236" i="8"/>
  <c r="T20" i="8"/>
  <c r="R20" i="8"/>
  <c r="U20" i="8"/>
  <c r="T22" i="8"/>
  <c r="U22" i="8"/>
  <c r="R22" i="8"/>
  <c r="R63" i="8"/>
  <c r="T63" i="8"/>
  <c r="U63" i="8"/>
  <c r="F108" i="8"/>
  <c r="F116" i="8"/>
  <c r="F127" i="8"/>
  <c r="F135" i="8"/>
  <c r="F140" i="8"/>
  <c r="F143" i="8"/>
  <c r="F151" i="8"/>
  <c r="F159" i="8"/>
  <c r="F167" i="8"/>
  <c r="F175" i="8"/>
  <c r="F179" i="8"/>
  <c r="F183" i="8"/>
  <c r="F187" i="8"/>
  <c r="F191" i="8"/>
  <c r="F196" i="8"/>
  <c r="F200" i="8"/>
  <c r="F204" i="8"/>
  <c r="F208" i="8"/>
  <c r="F212" i="8"/>
  <c r="F216" i="8"/>
  <c r="F219" i="8"/>
  <c r="F224" i="8"/>
  <c r="F228" i="8"/>
  <c r="F232" i="8"/>
  <c r="F235" i="8"/>
  <c r="U26" i="8"/>
  <c r="F109" i="8"/>
  <c r="F110" i="8"/>
  <c r="F113" i="8"/>
  <c r="F114" i="8"/>
  <c r="F117" i="8"/>
  <c r="F118" i="8"/>
  <c r="F121" i="8"/>
  <c r="F122" i="8"/>
  <c r="F125" i="8"/>
  <c r="F126" i="8"/>
  <c r="F129" i="8"/>
  <c r="F130" i="8"/>
  <c r="F133" i="8"/>
  <c r="F134" i="8"/>
  <c r="F137" i="8"/>
  <c r="F138" i="8"/>
  <c r="F141" i="8"/>
  <c r="F142" i="8"/>
  <c r="F145" i="8"/>
  <c r="F146" i="8"/>
  <c r="F149" i="8"/>
  <c r="F150" i="8"/>
  <c r="F153" i="8"/>
  <c r="F154" i="8"/>
  <c r="F157" i="8"/>
  <c r="F158" i="8"/>
  <c r="F161" i="8"/>
  <c r="F162" i="8"/>
  <c r="F165" i="8"/>
  <c r="F166" i="8"/>
  <c r="F169" i="8"/>
  <c r="F170" i="8"/>
  <c r="F173" i="8"/>
  <c r="F174" i="8"/>
  <c r="F178" i="8"/>
  <c r="U17" i="8"/>
  <c r="U29" i="8"/>
  <c r="U31" i="8"/>
  <c r="U32" i="8"/>
  <c r="U48" i="8"/>
  <c r="U54" i="8"/>
  <c r="U58" i="8"/>
  <c r="U27" i="8"/>
  <c r="U37" i="8"/>
  <c r="U35" i="8"/>
  <c r="U36" i="8"/>
  <c r="U38" i="8"/>
  <c r="U45" i="8"/>
  <c r="U46" i="8"/>
  <c r="U47" i="8"/>
  <c r="U52" i="8"/>
  <c r="U56" i="8"/>
  <c r="U47" i="3"/>
  <c r="U24" i="3"/>
  <c r="N33" i="3"/>
  <c r="Q9" i="2"/>
  <c r="BB13" i="5"/>
  <c r="BC13" i="5" s="1"/>
  <c r="N52" i="3"/>
  <c r="U71" i="8"/>
  <c r="U25" i="3"/>
  <c r="U48" i="3"/>
  <c r="AT12" i="7"/>
  <c r="AH12" i="7" s="1"/>
  <c r="AH1" i="7" s="1"/>
  <c r="AN25" i="7"/>
  <c r="L9" i="12"/>
  <c r="O15" i="12" s="1"/>
  <c r="S14" i="7"/>
  <c r="D10" i="5"/>
  <c r="E9" i="5"/>
  <c r="I13" i="5"/>
  <c r="I14" i="5" s="1"/>
  <c r="I15" i="5" s="1"/>
  <c r="J12" i="5"/>
  <c r="X10" i="5"/>
  <c r="Y9" i="5"/>
  <c r="M6" i="2"/>
  <c r="R10" i="3"/>
  <c r="Q10" i="3"/>
  <c r="R13" i="3"/>
  <c r="AG10" i="9"/>
  <c r="AG11" i="9" s="1"/>
  <c r="AH9" i="9"/>
  <c r="T9" i="9" s="1"/>
  <c r="A258" i="9" s="1"/>
  <c r="AP10" i="9"/>
  <c r="AO11" i="9"/>
  <c r="J11" i="5"/>
  <c r="E8" i="5"/>
  <c r="Y8" i="5"/>
  <c r="N10" i="9"/>
  <c r="O9" i="9"/>
  <c r="A9" i="9" s="1"/>
  <c r="AD12" i="5"/>
  <c r="J8" i="5"/>
  <c r="T8" i="5"/>
  <c r="S9" i="5"/>
  <c r="R11" i="3"/>
  <c r="Q11" i="3"/>
  <c r="AD13" i="5"/>
  <c r="AC14" i="5"/>
  <c r="AC15" i="5" s="1"/>
  <c r="AC16" i="5" s="1"/>
  <c r="AL9" i="9"/>
  <c r="AK10" i="9"/>
  <c r="AK11" i="9" s="1"/>
  <c r="R11" i="7"/>
  <c r="AX10" i="9"/>
  <c r="AW11" i="9"/>
  <c r="BN10" i="9"/>
  <c r="BM11" i="9"/>
  <c r="CT10" i="9"/>
  <c r="DA13" i="9"/>
  <c r="DB12" i="9"/>
  <c r="O8" i="9"/>
  <c r="A8" i="9" s="1"/>
  <c r="AD11" i="5"/>
  <c r="AH9" i="5"/>
  <c r="CT12" i="9"/>
  <c r="CS13" i="9"/>
  <c r="AD10" i="5"/>
  <c r="AD9" i="5"/>
  <c r="BJ11" i="9"/>
  <c r="CL10" i="9"/>
  <c r="CW10" i="9"/>
  <c r="CX9" i="9"/>
  <c r="DE10" i="9"/>
  <c r="DF9" i="9"/>
  <c r="BB9" i="9"/>
  <c r="BA10" i="9"/>
  <c r="BA11" i="9" s="1"/>
  <c r="BF10" i="9"/>
  <c r="BE11" i="9"/>
  <c r="BJ13" i="9"/>
  <c r="BI14" i="9"/>
  <c r="BI15" i="9" s="1"/>
  <c r="CH23" i="9"/>
  <c r="CG24" i="9"/>
  <c r="CG25" i="9" s="1"/>
  <c r="CG26" i="9" s="1"/>
  <c r="CG27" i="9" s="1"/>
  <c r="CL11" i="9"/>
  <c r="CK12" i="9"/>
  <c r="AX8" i="9"/>
  <c r="BF8" i="9"/>
  <c r="BJ10" i="9"/>
  <c r="BJ9" i="9"/>
  <c r="CH21" i="9"/>
  <c r="CH20" i="9"/>
  <c r="CH19" i="9"/>
  <c r="CH18" i="9"/>
  <c r="CH17" i="9"/>
  <c r="CH16" i="9"/>
  <c r="CH15" i="9"/>
  <c r="CH14" i="9"/>
  <c r="CH13" i="9"/>
  <c r="CH12" i="9"/>
  <c r="CT8" i="9"/>
  <c r="DB10" i="9"/>
  <c r="DB11" i="9"/>
  <c r="DB8" i="9"/>
  <c r="DJ11" i="9"/>
  <c r="BJ12" i="9"/>
  <c r="CH11" i="9"/>
  <c r="CH10" i="9"/>
  <c r="CH9" i="9"/>
  <c r="CT9" i="9"/>
  <c r="DB9" i="9"/>
  <c r="DQ10" i="9"/>
  <c r="DR9" i="9"/>
  <c r="EX9" i="9"/>
  <c r="EW10" i="9"/>
  <c r="FN10" i="9"/>
  <c r="FM11" i="9"/>
  <c r="BU11" i="9"/>
  <c r="CT11" i="9"/>
  <c r="DJ13" i="9"/>
  <c r="DF8" i="9"/>
  <c r="DM10" i="9"/>
  <c r="DN9" i="9"/>
  <c r="DZ9" i="9"/>
  <c r="DY10" i="9"/>
  <c r="DV11" i="9"/>
  <c r="DU12" i="9"/>
  <c r="EP10" i="9"/>
  <c r="EO11" i="9"/>
  <c r="FB9" i="9"/>
  <c r="FA10" i="9"/>
  <c r="FR10" i="9"/>
  <c r="FQ11" i="9"/>
  <c r="FQ12" i="9" s="1"/>
  <c r="FV10" i="9"/>
  <c r="FU11" i="9"/>
  <c r="FY15" i="9"/>
  <c r="FZ14" i="9"/>
  <c r="DV9" i="9"/>
  <c r="EP8" i="9"/>
  <c r="EX8" i="9"/>
  <c r="FN9" i="9"/>
  <c r="FR9" i="9"/>
  <c r="HV9" i="9"/>
  <c r="HU10" i="9"/>
  <c r="HU11" i="9" s="1"/>
  <c r="HU12" i="9" s="1"/>
  <c r="DN8" i="9"/>
  <c r="DV10" i="9"/>
  <c r="FZ8" i="9"/>
  <c r="FZ12" i="9"/>
  <c r="FZ13" i="9"/>
  <c r="FZ11" i="9"/>
  <c r="GH9" i="9"/>
  <c r="GG10" i="9"/>
  <c r="GG11" i="9" s="1"/>
  <c r="GT9" i="9"/>
  <c r="HE12" i="9"/>
  <c r="HF11" i="9"/>
  <c r="IC15" i="9"/>
  <c r="IC16" i="9" s="1"/>
  <c r="IC17" i="9" s="1"/>
  <c r="ID17" i="9" s="1"/>
  <c r="ID14" i="9"/>
  <c r="GD10" i="9"/>
  <c r="GC11" i="9"/>
  <c r="GT10" i="9"/>
  <c r="GS11" i="9"/>
  <c r="GL9" i="9"/>
  <c r="GK10" i="9"/>
  <c r="HB11" i="9"/>
  <c r="HA12" i="9"/>
  <c r="GX9" i="9"/>
  <c r="GW10" i="9"/>
  <c r="GW11" i="9" s="1"/>
  <c r="GW12" i="9" s="1"/>
  <c r="HN14" i="9"/>
  <c r="HM15" i="9"/>
  <c r="HI11" i="9"/>
  <c r="HJ10" i="9"/>
  <c r="GO11" i="9"/>
  <c r="HB9" i="9"/>
  <c r="GX8" i="9"/>
  <c r="HF8" i="9"/>
  <c r="HZ9" i="9"/>
  <c r="ID11" i="9"/>
  <c r="HY13" i="9"/>
  <c r="HY14" i="9" s="1"/>
  <c r="HZ11" i="9"/>
  <c r="HB10" i="9"/>
  <c r="HQ11" i="9"/>
  <c r="HQ12" i="9" s="1"/>
  <c r="HR9" i="9"/>
  <c r="HN9" i="9"/>
  <c r="HN11" i="9"/>
  <c r="HN12" i="9"/>
  <c r="HN13" i="9"/>
  <c r="HV8" i="9"/>
  <c r="IT11" i="9"/>
  <c r="IS12" i="9"/>
  <c r="IS13" i="9" s="1"/>
  <c r="IS14" i="9" s="1"/>
  <c r="IS15" i="9" s="1"/>
  <c r="AM24" i="5"/>
  <c r="AN23" i="5"/>
  <c r="A23" i="5" s="1"/>
  <c r="JA10" i="9"/>
  <c r="JB9" i="9"/>
  <c r="IK10" i="9"/>
  <c r="IL9" i="9"/>
  <c r="U53" i="8"/>
  <c r="JU26" i="9"/>
  <c r="JV25" i="9"/>
  <c r="IW10" i="9"/>
  <c r="IO10" i="9"/>
  <c r="JE9" i="9"/>
  <c r="JF8" i="9"/>
  <c r="JV9" i="9"/>
  <c r="JV19" i="9"/>
  <c r="JV21" i="9"/>
  <c r="JV22" i="9"/>
  <c r="JV11" i="9"/>
  <c r="JV12" i="9"/>
  <c r="JV16" i="9"/>
  <c r="JV17" i="9"/>
  <c r="JV18" i="9"/>
  <c r="JV10" i="9"/>
  <c r="JV13" i="9"/>
  <c r="JV8" i="9"/>
  <c r="JV14" i="9"/>
  <c r="JV15" i="9"/>
  <c r="JV24" i="9"/>
  <c r="JV20" i="9"/>
  <c r="JV23" i="9"/>
  <c r="JR9" i="9"/>
  <c r="JQ10" i="9"/>
  <c r="AN13" i="5"/>
  <c r="A13" i="5" s="1"/>
  <c r="AN11" i="5"/>
  <c r="A11" i="5" s="1"/>
  <c r="AN20" i="5"/>
  <c r="A20" i="5" s="1"/>
  <c r="AN21" i="5"/>
  <c r="A21" i="5" s="1"/>
  <c r="AN22" i="5"/>
  <c r="A22" i="5" s="1"/>
  <c r="AN12" i="5"/>
  <c r="A12" i="5" s="1"/>
  <c r="AN15" i="5"/>
  <c r="A15" i="5" s="1"/>
  <c r="AN16" i="5"/>
  <c r="A16" i="5" s="1"/>
  <c r="AN8" i="5"/>
  <c r="A8" i="5" s="1"/>
  <c r="AN14" i="5"/>
  <c r="A14" i="5" s="1"/>
  <c r="AN18" i="5"/>
  <c r="A18" i="5" s="1"/>
  <c r="AN19" i="5"/>
  <c r="A19" i="5" s="1"/>
  <c r="AN9" i="5"/>
  <c r="A9" i="5" s="1"/>
  <c r="AN10" i="5"/>
  <c r="A10" i="5" s="1"/>
  <c r="AN17" i="5"/>
  <c r="A17" i="5" s="1"/>
  <c r="AX9" i="5"/>
  <c r="AW10" i="5"/>
  <c r="U68" i="8"/>
  <c r="AB1" i="7"/>
  <c r="AR11" i="5"/>
  <c r="AR12" i="5" s="1"/>
  <c r="AR13" i="5" s="1"/>
  <c r="AR14" i="5" s="1"/>
  <c r="AR15" i="5" s="1"/>
  <c r="AR16" i="5" s="1"/>
  <c r="AR17" i="5" s="1"/>
  <c r="AS10" i="5"/>
  <c r="KH11" i="9"/>
  <c r="KH15" i="9"/>
  <c r="KH19" i="9"/>
  <c r="KH12" i="9"/>
  <c r="KH17" i="9"/>
  <c r="KK14" i="9"/>
  <c r="KL13" i="9"/>
  <c r="KT8" i="9"/>
  <c r="KS9" i="9"/>
  <c r="AS9" i="5"/>
  <c r="JY11" i="9"/>
  <c r="JZ10" i="9"/>
  <c r="U70" i="8"/>
  <c r="R70" i="8"/>
  <c r="N12" i="7"/>
  <c r="N18" i="7" s="1"/>
  <c r="KW9" i="9"/>
  <c r="KP11" i="9"/>
  <c r="R84" i="8" l="1"/>
  <c r="I2" i="8"/>
  <c r="J2" i="8" s="1"/>
  <c r="C81" i="10" s="1"/>
  <c r="C82" i="10" s="1"/>
  <c r="C83" i="10" s="1"/>
  <c r="JJ10" i="9"/>
  <c r="R75" i="3"/>
  <c r="U81" i="3"/>
  <c r="LQ30" i="9"/>
  <c r="LR30" i="9" s="1"/>
  <c r="X27" i="7"/>
  <c r="IG11" i="9"/>
  <c r="IH11" i="9" s="1"/>
  <c r="LM24" i="9"/>
  <c r="LN24" i="9" s="1"/>
  <c r="EH10" i="9"/>
  <c r="EH11" i="9"/>
  <c r="N72" i="3"/>
  <c r="LI21" i="9"/>
  <c r="LJ21" i="9" s="1"/>
  <c r="JJ9" i="9"/>
  <c r="O10" i="5"/>
  <c r="AS11" i="5"/>
  <c r="C10" i="6"/>
  <c r="C11" i="6" s="1"/>
  <c r="C12" i="6" s="1"/>
  <c r="AS13" i="5"/>
  <c r="IT12" i="9"/>
  <c r="HV11" i="9"/>
  <c r="O11" i="5"/>
  <c r="JN12" i="9"/>
  <c r="LE19" i="9"/>
  <c r="LF19" i="9" s="1"/>
  <c r="AL10" i="9"/>
  <c r="FJ11" i="9"/>
  <c r="IT13" i="9"/>
  <c r="HV10" i="9"/>
  <c r="ED10" i="9"/>
  <c r="BJ14" i="9"/>
  <c r="CO11" i="9"/>
  <c r="CP11" i="9" s="1"/>
  <c r="BQ12" i="9"/>
  <c r="BQ13" i="9" s="1"/>
  <c r="IT14" i="9"/>
  <c r="EC12" i="9"/>
  <c r="ED12" i="9" s="1"/>
  <c r="AS15" i="5"/>
  <c r="FI13" i="9"/>
  <c r="FI14" i="9" s="1"/>
  <c r="R19" i="7"/>
  <c r="FR11" i="9"/>
  <c r="AS14" i="5"/>
  <c r="CH26" i="9"/>
  <c r="BB10" i="9"/>
  <c r="HZ13" i="9"/>
  <c r="AD15" i="5"/>
  <c r="AH10" i="9"/>
  <c r="T10" i="9" s="1"/>
  <c r="A259" i="9" s="1"/>
  <c r="KD10" i="9"/>
  <c r="KC11" i="9"/>
  <c r="ET10" i="9"/>
  <c r="ES11" i="9"/>
  <c r="AS10" i="9"/>
  <c r="AT9" i="9"/>
  <c r="FF10" i="9"/>
  <c r="FE11" i="9"/>
  <c r="BY12" i="9"/>
  <c r="BZ11" i="9"/>
  <c r="KP12" i="9"/>
  <c r="KO13" i="9"/>
  <c r="KG22" i="9"/>
  <c r="KH21" i="9"/>
  <c r="ID16" i="9"/>
  <c r="JM14" i="9"/>
  <c r="JN13" i="9"/>
  <c r="EL10" i="9"/>
  <c r="EK11" i="9"/>
  <c r="CC10" i="9"/>
  <c r="CD9" i="9"/>
  <c r="LA16" i="9"/>
  <c r="LB16" i="9" s="1"/>
  <c r="G93" i="8"/>
  <c r="F93" i="8" s="1"/>
  <c r="C92" i="8"/>
  <c r="B92" i="8"/>
  <c r="D92" i="8"/>
  <c r="S19" i="7"/>
  <c r="BB14" i="5"/>
  <c r="BC14" i="5" s="1"/>
  <c r="R83" i="3"/>
  <c r="N63" i="3"/>
  <c r="N82" i="3" s="1"/>
  <c r="X26" i="7"/>
  <c r="L15" i="12"/>
  <c r="J15" i="12" s="1"/>
  <c r="KW10" i="9"/>
  <c r="KX9" i="9"/>
  <c r="AW11" i="5"/>
  <c r="AX10" i="5"/>
  <c r="ID15" i="9"/>
  <c r="HJ11" i="9"/>
  <c r="HI12" i="9"/>
  <c r="AS16" i="5"/>
  <c r="KK15" i="9"/>
  <c r="KL14" i="9"/>
  <c r="JQ11" i="9"/>
  <c r="JR10" i="9"/>
  <c r="JE10" i="9"/>
  <c r="JF9" i="9"/>
  <c r="IW11" i="9"/>
  <c r="IX10" i="9"/>
  <c r="IK11" i="9"/>
  <c r="IL10" i="9"/>
  <c r="AM25" i="5"/>
  <c r="AN24" i="5"/>
  <c r="A24" i="5" s="1"/>
  <c r="GX11" i="9"/>
  <c r="GH10" i="9"/>
  <c r="HN15" i="9"/>
  <c r="HM16" i="9"/>
  <c r="HN16" i="9" s="1"/>
  <c r="HB12" i="9"/>
  <c r="HA13" i="9"/>
  <c r="GX10" i="9"/>
  <c r="HF12" i="9"/>
  <c r="HE13" i="9"/>
  <c r="HV12" i="9"/>
  <c r="HU13" i="9"/>
  <c r="FR12" i="9"/>
  <c r="FQ13" i="9"/>
  <c r="EO12" i="9"/>
  <c r="EP11" i="9"/>
  <c r="DU13" i="9"/>
  <c r="DV12" i="9"/>
  <c r="DY11" i="9"/>
  <c r="DZ10" i="9"/>
  <c r="FM12" i="9"/>
  <c r="FN11" i="9"/>
  <c r="CL12" i="9"/>
  <c r="CK13" i="9"/>
  <c r="BJ15" i="9"/>
  <c r="BI16" i="9"/>
  <c r="BB11" i="9"/>
  <c r="BA12" i="9"/>
  <c r="AD14" i="5"/>
  <c r="DF10" i="9"/>
  <c r="DE11" i="9"/>
  <c r="AH10" i="5"/>
  <c r="AI9" i="5"/>
  <c r="DB13" i="9"/>
  <c r="DA14" i="9"/>
  <c r="AW12" i="9"/>
  <c r="AX11" i="9"/>
  <c r="J13" i="5"/>
  <c r="N11" i="9"/>
  <c r="O10" i="9"/>
  <c r="A10" i="9" s="1"/>
  <c r="J14" i="5"/>
  <c r="Y10" i="5"/>
  <c r="X11" i="5"/>
  <c r="IP10" i="9"/>
  <c r="IO11" i="9"/>
  <c r="IT15" i="9"/>
  <c r="IS16" i="9"/>
  <c r="HZ14" i="9"/>
  <c r="HY15" i="9"/>
  <c r="HR11" i="9"/>
  <c r="GT11" i="9"/>
  <c r="GS12" i="9"/>
  <c r="FZ15" i="9"/>
  <c r="FY16" i="9"/>
  <c r="DQ11" i="9"/>
  <c r="DR10" i="9"/>
  <c r="CH25" i="9"/>
  <c r="E10" i="5"/>
  <c r="D11" i="5"/>
  <c r="JJ11" i="9"/>
  <c r="JI12" i="9"/>
  <c r="JU27" i="9"/>
  <c r="JV26" i="9"/>
  <c r="JB10" i="9"/>
  <c r="JA11" i="9"/>
  <c r="HR12" i="9"/>
  <c r="HQ13" i="9"/>
  <c r="GP11" i="9"/>
  <c r="GO12" i="9"/>
  <c r="GX12" i="9"/>
  <c r="GW13" i="9"/>
  <c r="GL10" i="9"/>
  <c r="GK11" i="9"/>
  <c r="GH11" i="9"/>
  <c r="GG12" i="9"/>
  <c r="FU12" i="9"/>
  <c r="FV11" i="9"/>
  <c r="FA11" i="9"/>
  <c r="FB10" i="9"/>
  <c r="EG13" i="9"/>
  <c r="EH12" i="9"/>
  <c r="BU12" i="9"/>
  <c r="BV11" i="9"/>
  <c r="EW11" i="9"/>
  <c r="EX10" i="9"/>
  <c r="CH27" i="9"/>
  <c r="CG28" i="9"/>
  <c r="BF11" i="9"/>
  <c r="BE12" i="9"/>
  <c r="CW11" i="9"/>
  <c r="CX10" i="9"/>
  <c r="CT13" i="9"/>
  <c r="CS14" i="9"/>
  <c r="BN11" i="9"/>
  <c r="BM12" i="9"/>
  <c r="AG12" i="9"/>
  <c r="AH11" i="9"/>
  <c r="T11" i="9" s="1"/>
  <c r="A260" i="9" s="1"/>
  <c r="I16" i="5"/>
  <c r="J15" i="5"/>
  <c r="KT9" i="9"/>
  <c r="KS10" i="9"/>
  <c r="AR18" i="5"/>
  <c r="AS17" i="5"/>
  <c r="JY12" i="9"/>
  <c r="JZ11" i="9"/>
  <c r="AS12" i="5"/>
  <c r="GD11" i="9"/>
  <c r="GC12" i="9"/>
  <c r="DM11" i="9"/>
  <c r="DN10" i="9"/>
  <c r="CH24" i="9"/>
  <c r="AK12" i="9"/>
  <c r="AL11" i="9"/>
  <c r="AC17" i="5"/>
  <c r="AD16" i="5"/>
  <c r="S10" i="5"/>
  <c r="T9" i="5"/>
  <c r="AO12" i="9"/>
  <c r="AP11" i="9"/>
  <c r="N13" i="5"/>
  <c r="O12" i="5"/>
  <c r="F81" i="10" l="1"/>
  <c r="C158" i="10" s="1"/>
  <c r="C159" i="10" s="1"/>
  <c r="LM25" i="9"/>
  <c r="LN25" i="9" s="1"/>
  <c r="IG12" i="9"/>
  <c r="IG13" i="9" s="1"/>
  <c r="LQ31" i="9"/>
  <c r="LR31" i="9" s="1"/>
  <c r="FJ13" i="9"/>
  <c r="LI22" i="9"/>
  <c r="LJ22" i="9" s="1"/>
  <c r="LM26" i="9"/>
  <c r="LN26" i="9" s="1"/>
  <c r="BR12" i="9"/>
  <c r="L82" i="3"/>
  <c r="L24" i="7"/>
  <c r="CO12" i="9"/>
  <c r="CP12" i="9" s="1"/>
  <c r="EC13" i="9"/>
  <c r="EC14" i="9" s="1"/>
  <c r="LE20" i="9"/>
  <c r="LF20" i="9" s="1"/>
  <c r="FF11" i="9"/>
  <c r="FE12" i="9"/>
  <c r="ES12" i="9"/>
  <c r="ET11" i="9"/>
  <c r="CD10" i="9"/>
  <c r="CC11" i="9"/>
  <c r="JM15" i="9"/>
  <c r="JN14" i="9"/>
  <c r="KG23" i="9"/>
  <c r="KH22" i="9"/>
  <c r="EL11" i="9"/>
  <c r="EK12" i="9"/>
  <c r="KO14" i="9"/>
  <c r="KP13" i="9"/>
  <c r="KC12" i="9"/>
  <c r="KD11" i="9"/>
  <c r="BZ12" i="9"/>
  <c r="BY13" i="9"/>
  <c r="AT10" i="9"/>
  <c r="AS11" i="9"/>
  <c r="LA17" i="9"/>
  <c r="LB17" i="9" s="1"/>
  <c r="T90" i="8"/>
  <c r="T91" i="8" s="1"/>
  <c r="T92" i="8" s="1"/>
  <c r="L93" i="8"/>
  <c r="BB15" i="5"/>
  <c r="BC15" i="5" s="1"/>
  <c r="O13" i="5"/>
  <c r="N14" i="5"/>
  <c r="GD12" i="9"/>
  <c r="GC13" i="9"/>
  <c r="CX11" i="9"/>
  <c r="CW12" i="9"/>
  <c r="FJ14" i="9"/>
  <c r="FI15" i="9"/>
  <c r="FZ16" i="9"/>
  <c r="FY17" i="9"/>
  <c r="CK14" i="9"/>
  <c r="CL13" i="9"/>
  <c r="HF13" i="9"/>
  <c r="HE14" i="9"/>
  <c r="DN11" i="9"/>
  <c r="DM12" i="9"/>
  <c r="BM13" i="9"/>
  <c r="BN12" i="9"/>
  <c r="CS15" i="9"/>
  <c r="CT14" i="9"/>
  <c r="CG29" i="9"/>
  <c r="CH28" i="9"/>
  <c r="GW14" i="9"/>
  <c r="GX13" i="9"/>
  <c r="HQ14" i="9"/>
  <c r="HR13" i="9"/>
  <c r="E11" i="5"/>
  <c r="D12" i="5"/>
  <c r="HY16" i="9"/>
  <c r="HZ15" i="9"/>
  <c r="IP11" i="9"/>
  <c r="IO12" i="9"/>
  <c r="DF11" i="9"/>
  <c r="DE12" i="9"/>
  <c r="FN12" i="9"/>
  <c r="FM13" i="9"/>
  <c r="DU14" i="9"/>
  <c r="DV13" i="9"/>
  <c r="HJ12" i="9"/>
  <c r="HI13" i="9"/>
  <c r="KX10" i="9"/>
  <c r="KW11" i="9"/>
  <c r="AO13" i="9"/>
  <c r="AP12" i="9"/>
  <c r="AC18" i="5"/>
  <c r="AD17" i="5"/>
  <c r="JY13" i="9"/>
  <c r="JZ12" i="9"/>
  <c r="I17" i="5"/>
  <c r="J16" i="5"/>
  <c r="BU13" i="9"/>
  <c r="BV12" i="9"/>
  <c r="EG14" i="9"/>
  <c r="EH13" i="9"/>
  <c r="FU13" i="9"/>
  <c r="FV12" i="9"/>
  <c r="JU28" i="9"/>
  <c r="JV27" i="9"/>
  <c r="GT12" i="9"/>
  <c r="GS13" i="9"/>
  <c r="AX12" i="9"/>
  <c r="AW13" i="9"/>
  <c r="AH11" i="5"/>
  <c r="AI10" i="5"/>
  <c r="BJ16" i="9"/>
  <c r="BI17" i="9"/>
  <c r="HU14" i="9"/>
  <c r="HV13" i="9"/>
  <c r="IL11" i="9"/>
  <c r="IK12" i="9"/>
  <c r="JF10" i="9"/>
  <c r="JE11" i="9"/>
  <c r="GL11" i="9"/>
  <c r="GK12" i="9"/>
  <c r="GO13" i="9"/>
  <c r="GP12" i="9"/>
  <c r="JB11" i="9"/>
  <c r="JA12" i="9"/>
  <c r="JI13" i="9"/>
  <c r="JJ12" i="9"/>
  <c r="DQ12" i="9"/>
  <c r="DR11" i="9"/>
  <c r="IS17" i="9"/>
  <c r="IT16" i="9"/>
  <c r="X12" i="5"/>
  <c r="Y11" i="5"/>
  <c r="O11" i="9"/>
  <c r="A11" i="9" s="1"/>
  <c r="N12" i="9"/>
  <c r="DB14" i="9"/>
  <c r="DA15" i="9"/>
  <c r="DY12" i="9"/>
  <c r="DZ11" i="9"/>
  <c r="EO13" i="9"/>
  <c r="EP12" i="9"/>
  <c r="HB13" i="9"/>
  <c r="HA14" i="9"/>
  <c r="KK16" i="9"/>
  <c r="KL15" i="9"/>
  <c r="AW12" i="5"/>
  <c r="AX11" i="5"/>
  <c r="AL12" i="9"/>
  <c r="AK13" i="9"/>
  <c r="AR19" i="5"/>
  <c r="AS18" i="5"/>
  <c r="BR13" i="9"/>
  <c r="BQ14" i="9"/>
  <c r="EW12" i="9"/>
  <c r="EX11" i="9"/>
  <c r="AM26" i="5"/>
  <c r="AN25" i="5"/>
  <c r="A25" i="5" s="1"/>
  <c r="IX11" i="9"/>
  <c r="IW12" i="9"/>
  <c r="JR11" i="9"/>
  <c r="JQ12" i="9"/>
  <c r="KS11" i="9"/>
  <c r="KT10" i="9"/>
  <c r="BF12" i="9"/>
  <c r="BE13" i="9"/>
  <c r="S11" i="5"/>
  <c r="T10" i="5"/>
  <c r="AH12" i="9"/>
  <c r="T12" i="9" s="1"/>
  <c r="A261" i="9" s="1"/>
  <c r="AG13" i="9"/>
  <c r="FA12" i="9"/>
  <c r="FB11" i="9"/>
  <c r="BA13" i="9"/>
  <c r="BB12" i="9"/>
  <c r="FR13" i="9"/>
  <c r="FQ14" i="9"/>
  <c r="GH12" i="9"/>
  <c r="GG13" i="9"/>
  <c r="K81" i="10" l="1"/>
  <c r="IH12" i="9"/>
  <c r="LQ32" i="9"/>
  <c r="LR32" i="9" s="1"/>
  <c r="ED13" i="9"/>
  <c r="LI23" i="9"/>
  <c r="LJ23" i="9" s="1"/>
  <c r="LM27" i="9"/>
  <c r="LN27" i="9" s="1"/>
  <c r="CO13" i="9"/>
  <c r="CP13" i="9" s="1"/>
  <c r="LE21" i="9"/>
  <c r="LF21" i="9" s="1"/>
  <c r="IH13" i="9"/>
  <c r="IG14" i="9"/>
  <c r="BY14" i="9"/>
  <c r="BZ13" i="9"/>
  <c r="CC12" i="9"/>
  <c r="CD11" i="9"/>
  <c r="FF12" i="9"/>
  <c r="FE13" i="9"/>
  <c r="KO15" i="9"/>
  <c r="KP14" i="9"/>
  <c r="KG24" i="9"/>
  <c r="KH23" i="9"/>
  <c r="AS12" i="9"/>
  <c r="AT11" i="9"/>
  <c r="EL12" i="9"/>
  <c r="EK13" i="9"/>
  <c r="KC13" i="9"/>
  <c r="KD12" i="9"/>
  <c r="JM16" i="9"/>
  <c r="JN15" i="9"/>
  <c r="ET12" i="9"/>
  <c r="ES13" i="9"/>
  <c r="LA18" i="9"/>
  <c r="LB18" i="9" s="1"/>
  <c r="S92" i="8"/>
  <c r="BB16" i="5"/>
  <c r="BC16" i="5" s="1"/>
  <c r="C12" i="5"/>
  <c r="BB13" i="9"/>
  <c r="BA14" i="9"/>
  <c r="X13" i="5"/>
  <c r="Y12" i="5"/>
  <c r="HU15" i="9"/>
  <c r="HV14" i="9"/>
  <c r="JR12" i="9"/>
  <c r="JQ13" i="9"/>
  <c r="JB12" i="9"/>
  <c r="JA13" i="9"/>
  <c r="IL12" i="9"/>
  <c r="IK13" i="9"/>
  <c r="DF12" i="9"/>
  <c r="DE13" i="9"/>
  <c r="HF14" i="9"/>
  <c r="HE15" i="9"/>
  <c r="FY18" i="9"/>
  <c r="FZ17" i="9"/>
  <c r="CW13" i="9"/>
  <c r="CX12" i="9"/>
  <c r="N15" i="5"/>
  <c r="O14" i="5"/>
  <c r="FB12" i="9"/>
  <c r="FA13" i="9"/>
  <c r="S12" i="5"/>
  <c r="T11" i="5"/>
  <c r="KS12" i="9"/>
  <c r="KT11" i="9"/>
  <c r="AM27" i="5"/>
  <c r="AN26" i="5"/>
  <c r="A26" i="5" s="1"/>
  <c r="EX12" i="9"/>
  <c r="EW13" i="9"/>
  <c r="AR20" i="5"/>
  <c r="AS19" i="5"/>
  <c r="AW13" i="5"/>
  <c r="AX12" i="5"/>
  <c r="DZ12" i="9"/>
  <c r="DY13" i="9"/>
  <c r="IT17" i="9"/>
  <c r="IS18" i="9"/>
  <c r="EC15" i="9"/>
  <c r="ED14" i="9"/>
  <c r="AI11" i="5"/>
  <c r="AH12" i="5"/>
  <c r="FV13" i="9"/>
  <c r="FU14" i="9"/>
  <c r="BV13" i="9"/>
  <c r="BU14" i="9"/>
  <c r="I18" i="5"/>
  <c r="J17" i="5"/>
  <c r="JY14" i="9"/>
  <c r="JZ13" i="9"/>
  <c r="AP13" i="9"/>
  <c r="AO14" i="9"/>
  <c r="DU15" i="9"/>
  <c r="DV14" i="9"/>
  <c r="HY17" i="9"/>
  <c r="HZ17" i="9" s="1"/>
  <c r="HZ16" i="9"/>
  <c r="HQ15" i="9"/>
  <c r="HR14" i="9"/>
  <c r="CG30" i="9"/>
  <c r="CH29" i="9"/>
  <c r="BN13" i="9"/>
  <c r="BM14" i="9"/>
  <c r="GH13" i="9"/>
  <c r="GG14" i="9"/>
  <c r="AH13" i="9"/>
  <c r="T13" i="9" s="1"/>
  <c r="A262" i="9" s="1"/>
  <c r="AG14" i="9"/>
  <c r="BF13" i="9"/>
  <c r="BE14" i="9"/>
  <c r="IX12" i="9"/>
  <c r="IW13" i="9"/>
  <c r="BQ15" i="9"/>
  <c r="BR14" i="9"/>
  <c r="AK14" i="9"/>
  <c r="AL13" i="9"/>
  <c r="DB15" i="9"/>
  <c r="DA16" i="9"/>
  <c r="JF11" i="9"/>
  <c r="JE12" i="9"/>
  <c r="BJ17" i="9"/>
  <c r="BI18" i="9"/>
  <c r="AW14" i="9"/>
  <c r="AX13" i="9"/>
  <c r="KX11" i="9"/>
  <c r="KW12" i="9"/>
  <c r="HJ13" i="9"/>
  <c r="HI14" i="9"/>
  <c r="FN13" i="9"/>
  <c r="FM14" i="9"/>
  <c r="IO13" i="9"/>
  <c r="IP12" i="9"/>
  <c r="D13" i="5"/>
  <c r="E12" i="5"/>
  <c r="DM13" i="9"/>
  <c r="DN12" i="9"/>
  <c r="FI16" i="9"/>
  <c r="FJ15" i="9"/>
  <c r="GD13" i="9"/>
  <c r="GC14" i="9"/>
  <c r="EO14" i="9"/>
  <c r="EP13" i="9"/>
  <c r="GO14" i="9"/>
  <c r="GP13" i="9"/>
  <c r="EH14" i="9"/>
  <c r="EG15" i="9"/>
  <c r="AD18" i="5"/>
  <c r="AC19" i="5"/>
  <c r="GX14" i="9"/>
  <c r="GW15" i="9"/>
  <c r="CS16" i="9"/>
  <c r="CT15" i="9"/>
  <c r="CK15" i="9"/>
  <c r="CL14" i="9"/>
  <c r="JJ13" i="9"/>
  <c r="JI14" i="9"/>
  <c r="FQ15" i="9"/>
  <c r="FR14" i="9"/>
  <c r="HB14" i="9"/>
  <c r="HA15" i="9"/>
  <c r="N13" i="9"/>
  <c r="O12" i="9"/>
  <c r="A12" i="9" s="1"/>
  <c r="GL12" i="9"/>
  <c r="GK13" i="9"/>
  <c r="GT13" i="9"/>
  <c r="GS14" i="9"/>
  <c r="KK17" i="9"/>
  <c r="KL16" i="9"/>
  <c r="DQ13" i="9"/>
  <c r="DR12" i="9"/>
  <c r="JU29" i="9"/>
  <c r="JV28" i="9"/>
  <c r="LQ33" i="9" l="1"/>
  <c r="LR33" i="9" s="1"/>
  <c r="LI24" i="9"/>
  <c r="LJ24" i="9" s="1"/>
  <c r="LM28" i="9"/>
  <c r="LN28" i="9" s="1"/>
  <c r="CO14" i="9"/>
  <c r="CP14" i="9" s="1"/>
  <c r="LE22" i="9"/>
  <c r="LF22" i="9" s="1"/>
  <c r="IH14" i="9"/>
  <c r="IG15" i="9"/>
  <c r="ET13" i="9"/>
  <c r="ES14" i="9"/>
  <c r="EL13" i="9"/>
  <c r="EK14" i="9"/>
  <c r="KO16" i="9"/>
  <c r="KP15" i="9"/>
  <c r="KD13" i="9"/>
  <c r="KC14" i="9"/>
  <c r="CC13" i="9"/>
  <c r="CD12" i="9"/>
  <c r="KG25" i="9"/>
  <c r="KH24" i="9"/>
  <c r="FF13" i="9"/>
  <c r="FE14" i="9"/>
  <c r="JN16" i="9"/>
  <c r="JM17" i="9"/>
  <c r="AS13" i="9"/>
  <c r="AT12" i="9"/>
  <c r="BZ14" i="9"/>
  <c r="BY15" i="9"/>
  <c r="LA19" i="9"/>
  <c r="LB19" i="9" s="1"/>
  <c r="BB17" i="5"/>
  <c r="BC17" i="5" s="1"/>
  <c r="JU30" i="9"/>
  <c r="JV29" i="9"/>
  <c r="FQ16" i="9"/>
  <c r="FR15" i="9"/>
  <c r="E13" i="5"/>
  <c r="D14" i="5"/>
  <c r="J18" i="5"/>
  <c r="I19" i="5"/>
  <c r="HA16" i="9"/>
  <c r="HB15" i="9"/>
  <c r="HJ14" i="9"/>
  <c r="HI15" i="9"/>
  <c r="BJ18" i="9"/>
  <c r="BI19" i="9"/>
  <c r="BM15" i="9"/>
  <c r="BN14" i="9"/>
  <c r="BV14" i="9"/>
  <c r="BU15" i="9"/>
  <c r="DF13" i="9"/>
  <c r="DE14" i="9"/>
  <c r="JB13" i="9"/>
  <c r="JA14" i="9"/>
  <c r="BB14" i="9"/>
  <c r="BA15" i="9"/>
  <c r="GS15" i="9"/>
  <c r="GT14" i="9"/>
  <c r="JJ14" i="9"/>
  <c r="JI15" i="9"/>
  <c r="EH15" i="9"/>
  <c r="EG16" i="9"/>
  <c r="FN14" i="9"/>
  <c r="FM15" i="9"/>
  <c r="KX12" i="9"/>
  <c r="KW13" i="9"/>
  <c r="JF12" i="9"/>
  <c r="JE13" i="9"/>
  <c r="DB16" i="9"/>
  <c r="DA17" i="9"/>
  <c r="BE15" i="9"/>
  <c r="BF14" i="9"/>
  <c r="GG15" i="9"/>
  <c r="GH14" i="9"/>
  <c r="AO15" i="9"/>
  <c r="AP14" i="9"/>
  <c r="FV14" i="9"/>
  <c r="FU15" i="9"/>
  <c r="IT18" i="9"/>
  <c r="IS19" i="9"/>
  <c r="EX13" i="9"/>
  <c r="EW14" i="9"/>
  <c r="FB13" i="9"/>
  <c r="FA14" i="9"/>
  <c r="HF15" i="9"/>
  <c r="HE16" i="9"/>
  <c r="IL13" i="9"/>
  <c r="IK14" i="9"/>
  <c r="JR13" i="9"/>
  <c r="JQ14" i="9"/>
  <c r="N14" i="9"/>
  <c r="O13" i="9"/>
  <c r="A13" i="9" s="1"/>
  <c r="EO15" i="9"/>
  <c r="EP14" i="9"/>
  <c r="CG31" i="9"/>
  <c r="CH30" i="9"/>
  <c r="CW14" i="9"/>
  <c r="CX13" i="9"/>
  <c r="CT16" i="9"/>
  <c r="CS17" i="9"/>
  <c r="FJ16" i="9"/>
  <c r="FI17" i="9"/>
  <c r="KL17" i="9"/>
  <c r="KK18" i="9"/>
  <c r="AW15" i="9"/>
  <c r="AX14" i="9"/>
  <c r="BQ16" i="9"/>
  <c r="BR15" i="9"/>
  <c r="AW14" i="5"/>
  <c r="AX13" i="5"/>
  <c r="KS13" i="9"/>
  <c r="KT12" i="9"/>
  <c r="HV15" i="9"/>
  <c r="HU16" i="9"/>
  <c r="HV16" i="9" s="1"/>
  <c r="GK14" i="9"/>
  <c r="GL13" i="9"/>
  <c r="GW16" i="9"/>
  <c r="GX15" i="9"/>
  <c r="AC20" i="5"/>
  <c r="AD19" i="5"/>
  <c r="GC15" i="9"/>
  <c r="GD14" i="9"/>
  <c r="IX13" i="9"/>
  <c r="IW14" i="9"/>
  <c r="AH14" i="9"/>
  <c r="T14" i="9" s="1"/>
  <c r="A263" i="9" s="1"/>
  <c r="AG15" i="9"/>
  <c r="AH13" i="5"/>
  <c r="AI12" i="5"/>
  <c r="DY14" i="9"/>
  <c r="DZ13" i="9"/>
  <c r="DQ14" i="9"/>
  <c r="DR13" i="9"/>
  <c r="CL15" i="9"/>
  <c r="CK16" i="9"/>
  <c r="GO15" i="9"/>
  <c r="GP14" i="9"/>
  <c r="DN13" i="9"/>
  <c r="DM14" i="9"/>
  <c r="IP13" i="9"/>
  <c r="IO14" i="9"/>
  <c r="AK15" i="9"/>
  <c r="AL14" i="9"/>
  <c r="HQ16" i="9"/>
  <c r="HR15" i="9"/>
  <c r="DU16" i="9"/>
  <c r="DV15" i="9"/>
  <c r="JY15" i="9"/>
  <c r="JZ14" i="9"/>
  <c r="EC16" i="9"/>
  <c r="ED15" i="9"/>
  <c r="AR21" i="5"/>
  <c r="AS20" i="5"/>
  <c r="AM28" i="5"/>
  <c r="AN27" i="5"/>
  <c r="A27" i="5" s="1"/>
  <c r="S13" i="5"/>
  <c r="T12" i="5"/>
  <c r="N16" i="5"/>
  <c r="O15" i="5"/>
  <c r="FZ18" i="9"/>
  <c r="FY19" i="9"/>
  <c r="X14" i="5"/>
  <c r="Y13" i="5"/>
  <c r="LQ34" i="9" l="1"/>
  <c r="LR34" i="9" s="1"/>
  <c r="CO15" i="9"/>
  <c r="LI25" i="9"/>
  <c r="LJ25" i="9" s="1"/>
  <c r="LM29" i="9"/>
  <c r="LN29" i="9" s="1"/>
  <c r="LE23" i="9"/>
  <c r="LF23" i="9" s="1"/>
  <c r="IH15" i="9"/>
  <c r="IG16" i="9"/>
  <c r="FE15" i="9"/>
  <c r="FF14" i="9"/>
  <c r="CO16" i="9"/>
  <c r="CP15" i="9"/>
  <c r="KC15" i="9"/>
  <c r="KD14" i="9"/>
  <c r="EK15" i="9"/>
  <c r="EL14" i="9"/>
  <c r="AT13" i="9"/>
  <c r="AS14" i="9"/>
  <c r="BZ15" i="9"/>
  <c r="BY16" i="9"/>
  <c r="JN17" i="9"/>
  <c r="JM18" i="9"/>
  <c r="ET14" i="9"/>
  <c r="ES15" i="9"/>
  <c r="KG26" i="9"/>
  <c r="KH25" i="9"/>
  <c r="CC14" i="9"/>
  <c r="CD13" i="9"/>
  <c r="KP16" i="9"/>
  <c r="KO17" i="9"/>
  <c r="LA20" i="9"/>
  <c r="LB20" i="9" s="1"/>
  <c r="BB18" i="5"/>
  <c r="BC18" i="5" s="1"/>
  <c r="N17" i="5"/>
  <c r="O16" i="5"/>
  <c r="GL14" i="9"/>
  <c r="GK15" i="9"/>
  <c r="EP15" i="9"/>
  <c r="EO16" i="9"/>
  <c r="HB16" i="9"/>
  <c r="HA17" i="9"/>
  <c r="IP14" i="9"/>
  <c r="IO15" i="9"/>
  <c r="AH15" i="9"/>
  <c r="AG16" i="9"/>
  <c r="KK19" i="9"/>
  <c r="KL18" i="9"/>
  <c r="CS18" i="9"/>
  <c r="CT17" i="9"/>
  <c r="JQ15" i="9"/>
  <c r="JR14" i="9"/>
  <c r="FB14" i="9"/>
  <c r="FA15" i="9"/>
  <c r="IT19" i="9"/>
  <c r="IS20" i="9"/>
  <c r="FU16" i="9"/>
  <c r="FV15" i="9"/>
  <c r="DB17" i="9"/>
  <c r="DA18" i="9"/>
  <c r="KX13" i="9"/>
  <c r="KW14" i="9"/>
  <c r="EG17" i="9"/>
  <c r="EH16" i="9"/>
  <c r="JA15" i="9"/>
  <c r="JB14" i="9"/>
  <c r="BV15" i="9"/>
  <c r="BU16" i="9"/>
  <c r="BJ19" i="9"/>
  <c r="BI20" i="9"/>
  <c r="E14" i="5"/>
  <c r="D15" i="5"/>
  <c r="DU17" i="9"/>
  <c r="DV16" i="9"/>
  <c r="EC17" i="9"/>
  <c r="ED16" i="9"/>
  <c r="GP15" i="9"/>
  <c r="GO16" i="9"/>
  <c r="DY15" i="9"/>
  <c r="DZ14" i="9"/>
  <c r="AD20" i="5"/>
  <c r="AC21" i="5"/>
  <c r="BQ17" i="9"/>
  <c r="BR16" i="9"/>
  <c r="CW15" i="9"/>
  <c r="CX14" i="9"/>
  <c r="GT15" i="9"/>
  <c r="GS16" i="9"/>
  <c r="DM15" i="9"/>
  <c r="DN14" i="9"/>
  <c r="CK17" i="9"/>
  <c r="CL16" i="9"/>
  <c r="IW15" i="9"/>
  <c r="IX14" i="9"/>
  <c r="FJ17" i="9"/>
  <c r="FI18" i="9"/>
  <c r="IK15" i="9"/>
  <c r="IL14" i="9"/>
  <c r="HF16" i="9"/>
  <c r="HE17" i="9"/>
  <c r="EX14" i="9"/>
  <c r="EW15" i="9"/>
  <c r="JF13" i="9"/>
  <c r="JE14" i="9"/>
  <c r="FM16" i="9"/>
  <c r="FN15" i="9"/>
  <c r="JJ15" i="9"/>
  <c r="JI16" i="9"/>
  <c r="BB15" i="9"/>
  <c r="BA16" i="9"/>
  <c r="DF14" i="9"/>
  <c r="DE15" i="9"/>
  <c r="HJ15" i="9"/>
  <c r="HI16" i="9"/>
  <c r="J19" i="5"/>
  <c r="I20" i="5"/>
  <c r="AM29" i="5"/>
  <c r="AN28" i="5"/>
  <c r="A28" i="5" s="1"/>
  <c r="AL15" i="9"/>
  <c r="AK16" i="9"/>
  <c r="DQ15" i="9"/>
  <c r="DR15" i="9" s="1"/>
  <c r="DR14" i="9"/>
  <c r="KT13" i="9"/>
  <c r="KS14" i="9"/>
  <c r="GG16" i="9"/>
  <c r="GH15" i="9"/>
  <c r="FR16" i="9"/>
  <c r="FQ17" i="9"/>
  <c r="FZ19" i="9"/>
  <c r="FY20" i="9"/>
  <c r="Y14" i="5"/>
  <c r="X15" i="5"/>
  <c r="T13" i="5"/>
  <c r="S14" i="5"/>
  <c r="AR22" i="5"/>
  <c r="AS21" i="5"/>
  <c r="JY16" i="9"/>
  <c r="JZ15" i="9"/>
  <c r="HQ17" i="9"/>
  <c r="HR16" i="9"/>
  <c r="AH14" i="5"/>
  <c r="AI13" i="5"/>
  <c r="GC16" i="9"/>
  <c r="GD15" i="9"/>
  <c r="GX16" i="9"/>
  <c r="GW17" i="9"/>
  <c r="AW15" i="5"/>
  <c r="AX14" i="5"/>
  <c r="AX15" i="9"/>
  <c r="AW16" i="9"/>
  <c r="CH31" i="9"/>
  <c r="CG32" i="9"/>
  <c r="O14" i="9"/>
  <c r="A14" i="9" s="1"/>
  <c r="N15" i="9"/>
  <c r="AP15" i="9"/>
  <c r="AO16" i="9"/>
  <c r="BF15" i="9"/>
  <c r="BE16" i="9"/>
  <c r="BM16" i="9"/>
  <c r="BN15" i="9"/>
  <c r="JU31" i="9"/>
  <c r="JV30" i="9"/>
  <c r="LQ35" i="9" l="1"/>
  <c r="LR35" i="9" s="1"/>
  <c r="LI26" i="9"/>
  <c r="LJ26" i="9" s="1"/>
  <c r="LM30" i="9"/>
  <c r="LN30" i="9" s="1"/>
  <c r="LE24" i="9"/>
  <c r="LF24" i="9" s="1"/>
  <c r="IG17" i="9"/>
  <c r="IH16" i="9"/>
  <c r="CC15" i="9"/>
  <c r="CD14" i="9"/>
  <c r="EL15" i="9"/>
  <c r="EK16" i="9"/>
  <c r="CO17" i="9"/>
  <c r="CP16" i="9"/>
  <c r="KP17" i="9"/>
  <c r="KO18" i="9"/>
  <c r="JM19" i="9"/>
  <c r="JN18" i="9"/>
  <c r="AT14" i="9"/>
  <c r="AS15" i="9"/>
  <c r="KG27" i="9"/>
  <c r="KH26" i="9"/>
  <c r="KD15" i="9"/>
  <c r="KC16" i="9"/>
  <c r="FF15" i="9"/>
  <c r="FE16" i="9"/>
  <c r="ES16" i="9"/>
  <c r="ET15" i="9"/>
  <c r="BY17" i="9"/>
  <c r="BZ16" i="9"/>
  <c r="LA21" i="9"/>
  <c r="LB21" i="9" s="1"/>
  <c r="BB19" i="5"/>
  <c r="BC19" i="5" s="1"/>
  <c r="AO17" i="9"/>
  <c r="AP16" i="9"/>
  <c r="CH32" i="9"/>
  <c r="CG33" i="9"/>
  <c r="T14" i="5"/>
  <c r="S15" i="5"/>
  <c r="FZ20" i="9"/>
  <c r="FY21" i="9"/>
  <c r="HJ16" i="9"/>
  <c r="HI17" i="9"/>
  <c r="HJ17" i="9" s="1"/>
  <c r="BA17" i="9"/>
  <c r="BB16" i="9"/>
  <c r="HF17" i="9"/>
  <c r="HE18" i="9"/>
  <c r="AC22" i="5"/>
  <c r="AD21" i="5"/>
  <c r="D16" i="5"/>
  <c r="E15" i="5"/>
  <c r="BU17" i="9"/>
  <c r="BV16" i="9"/>
  <c r="DA19" i="9"/>
  <c r="DB18" i="9"/>
  <c r="IS21" i="9"/>
  <c r="IT20" i="9"/>
  <c r="IO16" i="9"/>
  <c r="IP15" i="9"/>
  <c r="HB17" i="9"/>
  <c r="HA18" i="9"/>
  <c r="GL15" i="9"/>
  <c r="GK16" i="9"/>
  <c r="AX15" i="5"/>
  <c r="AW16" i="5"/>
  <c r="GD16" i="9"/>
  <c r="GC17" i="9"/>
  <c r="GH16" i="9"/>
  <c r="GG17" i="9"/>
  <c r="AM30" i="5"/>
  <c r="AN29" i="5"/>
  <c r="A29" i="5" s="1"/>
  <c r="FN16" i="9"/>
  <c r="FM17" i="9"/>
  <c r="IX15" i="9"/>
  <c r="IW16" i="9"/>
  <c r="DM16" i="9"/>
  <c r="DN15" i="9"/>
  <c r="CX15" i="9"/>
  <c r="CW16" i="9"/>
  <c r="ED17" i="9"/>
  <c r="EC18" i="9"/>
  <c r="EH17" i="9"/>
  <c r="EG18" i="9"/>
  <c r="CS19" i="9"/>
  <c r="CT18" i="9"/>
  <c r="BN16" i="9"/>
  <c r="BM17" i="9"/>
  <c r="JY17" i="9"/>
  <c r="JZ16" i="9"/>
  <c r="BF16" i="9"/>
  <c r="BE17" i="9"/>
  <c r="N16" i="9"/>
  <c r="O15" i="9"/>
  <c r="A15" i="9" s="1"/>
  <c r="AW17" i="9"/>
  <c r="AX16" i="9"/>
  <c r="GW18" i="9"/>
  <c r="GX17" i="9"/>
  <c r="Y15" i="5"/>
  <c r="X16" i="5"/>
  <c r="FR17" i="9"/>
  <c r="FQ18" i="9"/>
  <c r="KS15" i="9"/>
  <c r="KT14" i="9"/>
  <c r="AK17" i="9"/>
  <c r="AL16" i="9"/>
  <c r="I21" i="5"/>
  <c r="J20" i="5"/>
  <c r="DF15" i="9"/>
  <c r="DE16" i="9"/>
  <c r="JJ16" i="9"/>
  <c r="JI17" i="9"/>
  <c r="JF14" i="9"/>
  <c r="JE15" i="9"/>
  <c r="EX15" i="9"/>
  <c r="EW16" i="9"/>
  <c r="FJ18" i="9"/>
  <c r="FI19" i="9"/>
  <c r="GT16" i="9"/>
  <c r="GS17" i="9"/>
  <c r="GP16" i="9"/>
  <c r="GO17" i="9"/>
  <c r="BI21" i="9"/>
  <c r="BJ20" i="9"/>
  <c r="KW15" i="9"/>
  <c r="KX14" i="9"/>
  <c r="FB15" i="9"/>
  <c r="FA16" i="9"/>
  <c r="AH16" i="9"/>
  <c r="AG17" i="9"/>
  <c r="EO17" i="9"/>
  <c r="EP16" i="9"/>
  <c r="JU32" i="9"/>
  <c r="JV31" i="9"/>
  <c r="AI14" i="5"/>
  <c r="AH15" i="5"/>
  <c r="HQ18" i="9"/>
  <c r="HR17" i="9"/>
  <c r="AR23" i="5"/>
  <c r="AS22" i="5"/>
  <c r="IL15" i="9"/>
  <c r="IK16" i="9"/>
  <c r="CL17" i="9"/>
  <c r="CK18" i="9"/>
  <c r="BR17" i="9"/>
  <c r="BQ18" i="9"/>
  <c r="DY16" i="9"/>
  <c r="DZ15" i="9"/>
  <c r="DV17" i="9"/>
  <c r="DU18" i="9"/>
  <c r="JA16" i="9"/>
  <c r="JB15" i="9"/>
  <c r="FU17" i="9"/>
  <c r="FV16" i="9"/>
  <c r="JQ16" i="9"/>
  <c r="JR15" i="9"/>
  <c r="KK20" i="9"/>
  <c r="KL19" i="9"/>
  <c r="A264" i="9"/>
  <c r="T15" i="9"/>
  <c r="O17" i="5"/>
  <c r="N18" i="5"/>
  <c r="LQ36" i="9" l="1"/>
  <c r="LR36" i="9" s="1"/>
  <c r="LI27" i="9"/>
  <c r="LJ27" i="9" s="1"/>
  <c r="LM31" i="9"/>
  <c r="LN31" i="9" s="1"/>
  <c r="LE25" i="9"/>
  <c r="LF25" i="9" s="1"/>
  <c r="IG18" i="9"/>
  <c r="IH17" i="9"/>
  <c r="ES17" i="9"/>
  <c r="ET16" i="9"/>
  <c r="KC17" i="9"/>
  <c r="KD16" i="9"/>
  <c r="AS16" i="9"/>
  <c r="AT15" i="9"/>
  <c r="KP18" i="9"/>
  <c r="KO19" i="9"/>
  <c r="EL16" i="9"/>
  <c r="EK17" i="9"/>
  <c r="BY18" i="9"/>
  <c r="BZ17" i="9"/>
  <c r="FF16" i="9"/>
  <c r="FE17" i="9"/>
  <c r="KG28" i="9"/>
  <c r="KH27" i="9"/>
  <c r="JM20" i="9"/>
  <c r="JN19" i="9"/>
  <c r="CP17" i="9"/>
  <c r="CO18" i="9"/>
  <c r="CC16" i="9"/>
  <c r="CD15" i="9"/>
  <c r="LA22" i="9"/>
  <c r="LB22" i="9" s="1"/>
  <c r="BB20" i="5"/>
  <c r="BC20" i="5" s="1"/>
  <c r="FB16" i="9"/>
  <c r="FA17" i="9"/>
  <c r="GT17" i="9"/>
  <c r="GS18" i="9"/>
  <c r="EW17" i="9"/>
  <c r="EX16" i="9"/>
  <c r="JJ17" i="9"/>
  <c r="JI18" i="9"/>
  <c r="X17" i="5"/>
  <c r="Y16" i="5"/>
  <c r="BF17" i="9"/>
  <c r="BE18" i="9"/>
  <c r="BN17" i="9"/>
  <c r="BM18" i="9"/>
  <c r="EH18" i="9"/>
  <c r="EG19" i="9"/>
  <c r="AX16" i="5"/>
  <c r="AW17" i="5"/>
  <c r="HB18" i="9"/>
  <c r="HA19" i="9"/>
  <c r="S16" i="5"/>
  <c r="T15" i="5"/>
  <c r="CG34" i="9"/>
  <c r="CH33" i="9"/>
  <c r="AH17" i="9"/>
  <c r="AG18" i="9"/>
  <c r="GO18" i="9"/>
  <c r="GP17" i="9"/>
  <c r="JE16" i="9"/>
  <c r="JF15" i="9"/>
  <c r="IW17" i="9"/>
  <c r="IX16" i="9"/>
  <c r="GC18" i="9"/>
  <c r="GD17" i="9"/>
  <c r="N19" i="5"/>
  <c r="O18" i="5"/>
  <c r="DU19" i="9"/>
  <c r="DV18" i="9"/>
  <c r="BR18" i="9"/>
  <c r="BQ19" i="9"/>
  <c r="IK17" i="9"/>
  <c r="IL16" i="9"/>
  <c r="AI15" i="5"/>
  <c r="AH16" i="5"/>
  <c r="KK21" i="9"/>
  <c r="KL20" i="9"/>
  <c r="FV17" i="9"/>
  <c r="FU18" i="9"/>
  <c r="HQ19" i="9"/>
  <c r="HR18" i="9"/>
  <c r="JU33" i="9"/>
  <c r="JV32" i="9"/>
  <c r="BJ21" i="9"/>
  <c r="BI22" i="9"/>
  <c r="I22" i="5"/>
  <c r="J21" i="5"/>
  <c r="KT15" i="9"/>
  <c r="KS16" i="9"/>
  <c r="AW18" i="9"/>
  <c r="AX17" i="9"/>
  <c r="DM17" i="9"/>
  <c r="DN16" i="9"/>
  <c r="AM31" i="5"/>
  <c r="AN30" i="5"/>
  <c r="A30" i="5" s="1"/>
  <c r="IT21" i="9"/>
  <c r="IS22" i="9"/>
  <c r="BU18" i="9"/>
  <c r="BV17" i="9"/>
  <c r="AC23" i="5"/>
  <c r="AD22" i="5"/>
  <c r="CK19" i="9"/>
  <c r="CL18" i="9"/>
  <c r="FJ19" i="9"/>
  <c r="FI20" i="9"/>
  <c r="DE17" i="9"/>
  <c r="DF16" i="9"/>
  <c r="FR18" i="9"/>
  <c r="FQ19" i="9"/>
  <c r="ED18" i="9"/>
  <c r="EC19" i="9"/>
  <c r="CX16" i="9"/>
  <c r="CW17" i="9"/>
  <c r="FM18" i="9"/>
  <c r="FN17" i="9"/>
  <c r="GH17" i="9"/>
  <c r="GG18" i="9"/>
  <c r="GL16" i="9"/>
  <c r="GK17" i="9"/>
  <c r="HF18" i="9"/>
  <c r="HE19" i="9"/>
  <c r="FY22" i="9"/>
  <c r="FZ21" i="9"/>
  <c r="JQ17" i="9"/>
  <c r="JR16" i="9"/>
  <c r="JB16" i="9"/>
  <c r="JA17" i="9"/>
  <c r="DY17" i="9"/>
  <c r="DZ16" i="9"/>
  <c r="AS23" i="5"/>
  <c r="AR24" i="5"/>
  <c r="EO18" i="9"/>
  <c r="EP17" i="9"/>
  <c r="T16" i="9"/>
  <c r="A265" i="9"/>
  <c r="KW16" i="9"/>
  <c r="KX15" i="9"/>
  <c r="AL17" i="9"/>
  <c r="AK18" i="9"/>
  <c r="GW19" i="9"/>
  <c r="GX18" i="9"/>
  <c r="O16" i="9"/>
  <c r="A16" i="9" s="1"/>
  <c r="N17" i="9"/>
  <c r="JZ17" i="9"/>
  <c r="JY18" i="9"/>
  <c r="CS20" i="9"/>
  <c r="CT19" i="9"/>
  <c r="IO17" i="9"/>
  <c r="IP16" i="9"/>
  <c r="DA20" i="9"/>
  <c r="DB19" i="9"/>
  <c r="D17" i="5"/>
  <c r="E16" i="5"/>
  <c r="BB17" i="9"/>
  <c r="BA18" i="9"/>
  <c r="AP17" i="9"/>
  <c r="AO18" i="9"/>
  <c r="LQ37" i="9" l="1"/>
  <c r="LR37" i="9" s="1"/>
  <c r="LI28" i="9"/>
  <c r="LI29" i="9" s="1"/>
  <c r="LM32" i="9"/>
  <c r="LN32" i="9" s="1"/>
  <c r="LE26" i="9"/>
  <c r="LF26" i="9" s="1"/>
  <c r="IH18" i="9"/>
  <c r="IG19" i="9"/>
  <c r="CP18" i="9"/>
  <c r="CO19" i="9"/>
  <c r="KO20" i="9"/>
  <c r="KP19" i="9"/>
  <c r="KG29" i="9"/>
  <c r="KH28" i="9"/>
  <c r="BY19" i="9"/>
  <c r="BZ18" i="9"/>
  <c r="KC18" i="9"/>
  <c r="KD17" i="9"/>
  <c r="FE18" i="9"/>
  <c r="FF17" i="9"/>
  <c r="EL17" i="9"/>
  <c r="EK18" i="9"/>
  <c r="CC17" i="9"/>
  <c r="CD16" i="9"/>
  <c r="JN20" i="9"/>
  <c r="JM21" i="9"/>
  <c r="AS17" i="9"/>
  <c r="AT16" i="9"/>
  <c r="ES18" i="9"/>
  <c r="ET17" i="9"/>
  <c r="LA23" i="9"/>
  <c r="LB23" i="9" s="1"/>
  <c r="BB21" i="5"/>
  <c r="BC21" i="5" s="1"/>
  <c r="HE20" i="9"/>
  <c r="HF19" i="9"/>
  <c r="ED19" i="9"/>
  <c r="EC20" i="9"/>
  <c r="BJ22" i="9"/>
  <c r="BI23" i="9"/>
  <c r="AI16" i="5"/>
  <c r="AH17" i="5"/>
  <c r="HB19" i="9"/>
  <c r="HA20" i="9"/>
  <c r="GT18" i="9"/>
  <c r="GS19" i="9"/>
  <c r="IP17" i="9"/>
  <c r="IO18" i="9"/>
  <c r="GW20" i="9"/>
  <c r="GX19" i="9"/>
  <c r="KX16" i="9"/>
  <c r="KW17" i="9"/>
  <c r="EO19" i="9"/>
  <c r="EP18" i="9"/>
  <c r="DY18" i="9"/>
  <c r="DZ17" i="9"/>
  <c r="JR17" i="9"/>
  <c r="JQ18" i="9"/>
  <c r="FN18" i="9"/>
  <c r="FM19" i="9"/>
  <c r="DF17" i="9"/>
  <c r="DE18" i="9"/>
  <c r="CL19" i="9"/>
  <c r="CK20" i="9"/>
  <c r="AC24" i="5"/>
  <c r="AD23" i="5"/>
  <c r="HR19" i="9"/>
  <c r="HQ20" i="9"/>
  <c r="KK22" i="9"/>
  <c r="KL21" i="9"/>
  <c r="N20" i="5"/>
  <c r="O19" i="5"/>
  <c r="IW18" i="9"/>
  <c r="IX17" i="9"/>
  <c r="GP18" i="9"/>
  <c r="GO19" i="9"/>
  <c r="CG35" i="9"/>
  <c r="CH34" i="9"/>
  <c r="JY19" i="9"/>
  <c r="JZ18" i="9"/>
  <c r="KT16" i="9"/>
  <c r="KS17" i="9"/>
  <c r="JI19" i="9"/>
  <c r="JJ18" i="9"/>
  <c r="BA19" i="9"/>
  <c r="BB18" i="9"/>
  <c r="O17" i="9"/>
  <c r="A17" i="9" s="1"/>
  <c r="N18" i="9"/>
  <c r="GH18" i="9"/>
  <c r="GG19" i="9"/>
  <c r="CW18" i="9"/>
  <c r="CX17" i="9"/>
  <c r="FQ20" i="9"/>
  <c r="FR19" i="9"/>
  <c r="FJ20" i="9"/>
  <c r="FI21" i="9"/>
  <c r="FU19" i="9"/>
  <c r="FV18" i="9"/>
  <c r="AH18" i="9"/>
  <c r="AG19" i="9"/>
  <c r="AW18" i="5"/>
  <c r="AX17" i="5"/>
  <c r="BM19" i="9"/>
  <c r="BN18" i="9"/>
  <c r="FB17" i="9"/>
  <c r="FA18" i="9"/>
  <c r="GL17" i="9"/>
  <c r="GK18" i="9"/>
  <c r="IS23" i="9"/>
  <c r="IT22" i="9"/>
  <c r="BR19" i="9"/>
  <c r="BQ20" i="9"/>
  <c r="EH19" i="9"/>
  <c r="EG20" i="9"/>
  <c r="BF18" i="9"/>
  <c r="BE19" i="9"/>
  <c r="E17" i="5"/>
  <c r="D18" i="5"/>
  <c r="AO19" i="9"/>
  <c r="AP18" i="9"/>
  <c r="AK19" i="9"/>
  <c r="AL18" i="9"/>
  <c r="AR25" i="5"/>
  <c r="AS24" i="5"/>
  <c r="JA18" i="9"/>
  <c r="JB17" i="9"/>
  <c r="DA21" i="9"/>
  <c r="DB20" i="9"/>
  <c r="CS21" i="9"/>
  <c r="CT20" i="9"/>
  <c r="FZ22" i="9"/>
  <c r="FY23" i="9"/>
  <c r="BU19" i="9"/>
  <c r="BV18" i="9"/>
  <c r="AM32" i="5"/>
  <c r="AN31" i="5"/>
  <c r="A31" i="5" s="1"/>
  <c r="DN17" i="9"/>
  <c r="DM18" i="9"/>
  <c r="AW19" i="9"/>
  <c r="AX18" i="9"/>
  <c r="I23" i="5"/>
  <c r="J22" i="5"/>
  <c r="JU34" i="9"/>
  <c r="JV33" i="9"/>
  <c r="IL17" i="9"/>
  <c r="IK18" i="9"/>
  <c r="DU20" i="9"/>
  <c r="DV19" i="9"/>
  <c r="GC19" i="9"/>
  <c r="GD18" i="9"/>
  <c r="JE17" i="9"/>
  <c r="JF16" i="9"/>
  <c r="A266" i="9"/>
  <c r="T17" i="9"/>
  <c r="T16" i="5"/>
  <c r="S17" i="5"/>
  <c r="Y17" i="5"/>
  <c r="X18" i="5"/>
  <c r="EW18" i="9"/>
  <c r="EX17" i="9"/>
  <c r="LQ38" i="9" l="1"/>
  <c r="LR38" i="9" s="1"/>
  <c r="LJ28" i="9"/>
  <c r="LM33" i="9"/>
  <c r="LN33" i="9" s="1"/>
  <c r="LI30" i="9"/>
  <c r="LJ29" i="9"/>
  <c r="LE27" i="9"/>
  <c r="LF27" i="9" s="1"/>
  <c r="IG20" i="9"/>
  <c r="IH19" i="9"/>
  <c r="AS18" i="9"/>
  <c r="AT17" i="9"/>
  <c r="CC18" i="9"/>
  <c r="CD17" i="9"/>
  <c r="FF18" i="9"/>
  <c r="FE19" i="9"/>
  <c r="BZ19" i="9"/>
  <c r="BY20" i="9"/>
  <c r="KP20" i="9"/>
  <c r="KO21" i="9"/>
  <c r="JN21" i="9"/>
  <c r="JM22" i="9"/>
  <c r="EL18" i="9"/>
  <c r="EK19" i="9"/>
  <c r="CO20" i="9"/>
  <c r="CP19" i="9"/>
  <c r="ET18" i="9"/>
  <c r="ES19" i="9"/>
  <c r="KC19" i="9"/>
  <c r="KD18" i="9"/>
  <c r="KH29" i="9"/>
  <c r="KG30" i="9"/>
  <c r="LA24" i="9"/>
  <c r="LB24" i="9" s="1"/>
  <c r="BB22" i="5"/>
  <c r="BC22" i="5" s="1"/>
  <c r="Y18" i="5"/>
  <c r="X19" i="5"/>
  <c r="IK19" i="9"/>
  <c r="IL18" i="9"/>
  <c r="DM19" i="9"/>
  <c r="DN18" i="9"/>
  <c r="D19" i="5"/>
  <c r="E18" i="5"/>
  <c r="GK19" i="9"/>
  <c r="GL18" i="9"/>
  <c r="AH19" i="9"/>
  <c r="AG20" i="9"/>
  <c r="GH19" i="9"/>
  <c r="GG20" i="9"/>
  <c r="CK21" i="9"/>
  <c r="CL20" i="9"/>
  <c r="AI17" i="5"/>
  <c r="AH18" i="5"/>
  <c r="GC20" i="9"/>
  <c r="GD19" i="9"/>
  <c r="JA19" i="9"/>
  <c r="JB18" i="9"/>
  <c r="T18" i="9"/>
  <c r="A267" i="9"/>
  <c r="FR20" i="9"/>
  <c r="FQ21" i="9"/>
  <c r="BB19" i="9"/>
  <c r="BA20" i="9"/>
  <c r="IX18" i="9"/>
  <c r="IW19" i="9"/>
  <c r="EP19" i="9"/>
  <c r="EO20" i="9"/>
  <c r="FZ23" i="9"/>
  <c r="FY24" i="9"/>
  <c r="FJ21" i="9"/>
  <c r="FI22" i="9"/>
  <c r="O18" i="9"/>
  <c r="A18" i="9" s="1"/>
  <c r="N19" i="9"/>
  <c r="KS18" i="9"/>
  <c r="KT17" i="9"/>
  <c r="GP19" i="9"/>
  <c r="GO20" i="9"/>
  <c r="HR20" i="9"/>
  <c r="HQ21" i="9"/>
  <c r="DE19" i="9"/>
  <c r="DF18" i="9"/>
  <c r="JQ19" i="9"/>
  <c r="JR18" i="9"/>
  <c r="KW18" i="9"/>
  <c r="KX17" i="9"/>
  <c r="IP18" i="9"/>
  <c r="IO19" i="9"/>
  <c r="HA21" i="9"/>
  <c r="HB20" i="9"/>
  <c r="BJ23" i="9"/>
  <c r="BI24" i="9"/>
  <c r="EG21" i="9"/>
  <c r="EH20" i="9"/>
  <c r="FM20" i="9"/>
  <c r="FN19" i="9"/>
  <c r="GS20" i="9"/>
  <c r="GT19" i="9"/>
  <c r="ED20" i="9"/>
  <c r="EC21" i="9"/>
  <c r="I24" i="5"/>
  <c r="J23" i="5"/>
  <c r="BU20" i="9"/>
  <c r="BV19" i="9"/>
  <c r="DB21" i="9"/>
  <c r="DA22" i="9"/>
  <c r="AK20" i="9"/>
  <c r="AL19" i="9"/>
  <c r="BN19" i="9"/>
  <c r="BM20" i="9"/>
  <c r="FU20" i="9"/>
  <c r="FV19" i="9"/>
  <c r="JJ19" i="9"/>
  <c r="JI20" i="9"/>
  <c r="CG36" i="9"/>
  <c r="CH35" i="9"/>
  <c r="KK23" i="9"/>
  <c r="KL22" i="9"/>
  <c r="DZ18" i="9"/>
  <c r="DY19" i="9"/>
  <c r="GX20" i="9"/>
  <c r="GW21" i="9"/>
  <c r="S18" i="5"/>
  <c r="T17" i="5"/>
  <c r="BF19" i="9"/>
  <c r="BE20" i="9"/>
  <c r="BR20" i="9"/>
  <c r="BQ21" i="9"/>
  <c r="FA19" i="9"/>
  <c r="FB18" i="9"/>
  <c r="EX18" i="9"/>
  <c r="EW19" i="9"/>
  <c r="JE18" i="9"/>
  <c r="JF17" i="9"/>
  <c r="DU21" i="9"/>
  <c r="DV20" i="9"/>
  <c r="JV34" i="9"/>
  <c r="JU35" i="9"/>
  <c r="AW20" i="9"/>
  <c r="AX19" i="9"/>
  <c r="AN32" i="5"/>
  <c r="A32" i="5" s="1"/>
  <c r="AM33" i="5"/>
  <c r="CT21" i="9"/>
  <c r="CS22" i="9"/>
  <c r="AR26" i="5"/>
  <c r="AS25" i="5"/>
  <c r="AP19" i="9"/>
  <c r="AO20" i="9"/>
  <c r="IT23" i="9"/>
  <c r="IS24" i="9"/>
  <c r="AX18" i="5"/>
  <c r="AW19" i="5"/>
  <c r="CW19" i="9"/>
  <c r="CX18" i="9"/>
  <c r="JY20" i="9"/>
  <c r="JZ19" i="9"/>
  <c r="O20" i="5"/>
  <c r="N21" i="5"/>
  <c r="AC25" i="5"/>
  <c r="AD24" i="5"/>
  <c r="HE21" i="9"/>
  <c r="HF20" i="9"/>
  <c r="LQ39" i="9" l="1"/>
  <c r="LR39" i="9" s="1"/>
  <c r="LM34" i="9"/>
  <c r="LN34" i="9" s="1"/>
  <c r="LI31" i="9"/>
  <c r="LJ30" i="9"/>
  <c r="LE28" i="9"/>
  <c r="LF28" i="9" s="1"/>
  <c r="IG21" i="9"/>
  <c r="IH20" i="9"/>
  <c r="JN22" i="9"/>
  <c r="JM23" i="9"/>
  <c r="BZ20" i="9"/>
  <c r="BY21" i="9"/>
  <c r="KC20" i="9"/>
  <c r="KD19" i="9"/>
  <c r="CP20" i="9"/>
  <c r="CO21" i="9"/>
  <c r="CC19" i="9"/>
  <c r="CD18" i="9"/>
  <c r="KG31" i="9"/>
  <c r="KH30" i="9"/>
  <c r="ET19" i="9"/>
  <c r="ES20" i="9"/>
  <c r="EL19" i="9"/>
  <c r="EK20" i="9"/>
  <c r="KP21" i="9"/>
  <c r="KO22" i="9"/>
  <c r="FF19" i="9"/>
  <c r="FE20" i="9"/>
  <c r="AT18" i="9"/>
  <c r="AS19" i="9"/>
  <c r="LA25" i="9"/>
  <c r="LB25" i="9" s="1"/>
  <c r="BB23" i="5"/>
  <c r="BC23" i="5" s="1"/>
  <c r="AX19" i="5"/>
  <c r="AW20" i="5"/>
  <c r="AN33" i="5"/>
  <c r="A33" i="5" s="1"/>
  <c r="AM34" i="5"/>
  <c r="DB22" i="9"/>
  <c r="DA23" i="9"/>
  <c r="GO21" i="9"/>
  <c r="GP20" i="9"/>
  <c r="FY25" i="9"/>
  <c r="FZ24" i="9"/>
  <c r="FR21" i="9"/>
  <c r="FQ22" i="9"/>
  <c r="AI18" i="5"/>
  <c r="AH19" i="5"/>
  <c r="GH20" i="9"/>
  <c r="GG21" i="9"/>
  <c r="JE19" i="9"/>
  <c r="JF18" i="9"/>
  <c r="FB19" i="9"/>
  <c r="FA20" i="9"/>
  <c r="KK24" i="9"/>
  <c r="KL23" i="9"/>
  <c r="I25" i="5"/>
  <c r="J24" i="5"/>
  <c r="GT20" i="9"/>
  <c r="GS21" i="9"/>
  <c r="EG22" i="9"/>
  <c r="EH21" i="9"/>
  <c r="HB21" i="9"/>
  <c r="HA22" i="9"/>
  <c r="KX18" i="9"/>
  <c r="KW19" i="9"/>
  <c r="DF19" i="9"/>
  <c r="DE20" i="9"/>
  <c r="GK20" i="9"/>
  <c r="GL19" i="9"/>
  <c r="D20" i="5"/>
  <c r="E19" i="5"/>
  <c r="IK20" i="9"/>
  <c r="IL19" i="9"/>
  <c r="AO21" i="9"/>
  <c r="AP20" i="9"/>
  <c r="JU36" i="9"/>
  <c r="JV35" i="9"/>
  <c r="BF20" i="9"/>
  <c r="BE21" i="9"/>
  <c r="JJ20" i="9"/>
  <c r="JI21" i="9"/>
  <c r="N20" i="9"/>
  <c r="O19" i="9"/>
  <c r="A19" i="9" s="1"/>
  <c r="IS25" i="9"/>
  <c r="IT24" i="9"/>
  <c r="CS23" i="9"/>
  <c r="CT22" i="9"/>
  <c r="EX19" i="9"/>
  <c r="EW20" i="9"/>
  <c r="BR21" i="9"/>
  <c r="BQ22" i="9"/>
  <c r="DZ19" i="9"/>
  <c r="DY20" i="9"/>
  <c r="ED21" i="9"/>
  <c r="EC22" i="9"/>
  <c r="BJ24" i="9"/>
  <c r="BI25" i="9"/>
  <c r="IO20" i="9"/>
  <c r="IP19" i="9"/>
  <c r="HQ22" i="9"/>
  <c r="HR21" i="9"/>
  <c r="FJ22" i="9"/>
  <c r="FI23" i="9"/>
  <c r="EO21" i="9"/>
  <c r="EP20" i="9"/>
  <c r="IX19" i="9"/>
  <c r="IW20" i="9"/>
  <c r="BA21" i="9"/>
  <c r="BB20" i="9"/>
  <c r="AG21" i="9"/>
  <c r="AH20" i="9"/>
  <c r="Y19" i="5"/>
  <c r="X20" i="5"/>
  <c r="O21" i="5"/>
  <c r="N22" i="5"/>
  <c r="GX21" i="9"/>
  <c r="GW22" i="9"/>
  <c r="BN20" i="9"/>
  <c r="BM21" i="9"/>
  <c r="HE22" i="9"/>
  <c r="HF21" i="9"/>
  <c r="AC26" i="5"/>
  <c r="AD25" i="5"/>
  <c r="JY21" i="9"/>
  <c r="JZ20" i="9"/>
  <c r="CX19" i="9"/>
  <c r="CW20" i="9"/>
  <c r="AR27" i="5"/>
  <c r="AS26" i="5"/>
  <c r="AW21" i="9"/>
  <c r="AX20" i="9"/>
  <c r="DV21" i="9"/>
  <c r="DU22" i="9"/>
  <c r="S19" i="5"/>
  <c r="T18" i="5"/>
  <c r="CH36" i="9"/>
  <c r="CG37" i="9"/>
  <c r="FV20" i="9"/>
  <c r="FU21" i="9"/>
  <c r="AL20" i="9"/>
  <c r="AK21" i="9"/>
  <c r="BV20" i="9"/>
  <c r="BU21" i="9"/>
  <c r="FN20" i="9"/>
  <c r="FM21" i="9"/>
  <c r="JQ20" i="9"/>
  <c r="JR19" i="9"/>
  <c r="KT18" i="9"/>
  <c r="KS19" i="9"/>
  <c r="JB19" i="9"/>
  <c r="JA20" i="9"/>
  <c r="GD20" i="9"/>
  <c r="GC21" i="9"/>
  <c r="CK22" i="9"/>
  <c r="CL21" i="9"/>
  <c r="A268" i="9"/>
  <c r="T19" i="9"/>
  <c r="DM20" i="9"/>
  <c r="DN19" i="9"/>
  <c r="LQ40" i="9" l="1"/>
  <c r="LR40" i="9" s="1"/>
  <c r="LM35" i="9"/>
  <c r="LN35" i="9" s="1"/>
  <c r="LJ31" i="9"/>
  <c r="LI32" i="9"/>
  <c r="IH21" i="9"/>
  <c r="IG22" i="9"/>
  <c r="KG32" i="9"/>
  <c r="KH31" i="9"/>
  <c r="AT19" i="9"/>
  <c r="AS20" i="9"/>
  <c r="KP22" i="9"/>
  <c r="KO23" i="9"/>
  <c r="ET20" i="9"/>
  <c r="ES21" i="9"/>
  <c r="JN23" i="9"/>
  <c r="JM24" i="9"/>
  <c r="CC20" i="9"/>
  <c r="CD19" i="9"/>
  <c r="KC21" i="9"/>
  <c r="KD20" i="9"/>
  <c r="FE21" i="9"/>
  <c r="FF20" i="9"/>
  <c r="EK21" i="9"/>
  <c r="EL20" i="9"/>
  <c r="CP21" i="9"/>
  <c r="CO22" i="9"/>
  <c r="BZ21" i="9"/>
  <c r="BY22" i="9"/>
  <c r="LA26" i="9"/>
  <c r="LB26" i="9" s="1"/>
  <c r="BB24" i="5"/>
  <c r="BC24" i="5" s="1"/>
  <c r="CX20" i="9"/>
  <c r="CW21" i="9"/>
  <c r="N23" i="5"/>
  <c r="O22" i="5"/>
  <c r="ED22" i="9"/>
  <c r="EC23" i="9"/>
  <c r="BF21" i="9"/>
  <c r="BE22" i="9"/>
  <c r="FB20" i="9"/>
  <c r="FA21" i="9"/>
  <c r="AI19" i="5"/>
  <c r="AH20" i="5"/>
  <c r="JR20" i="9"/>
  <c r="JQ21" i="9"/>
  <c r="S20" i="5"/>
  <c r="T19" i="5"/>
  <c r="AW22" i="9"/>
  <c r="AX21" i="9"/>
  <c r="AC27" i="5"/>
  <c r="AD26" i="5"/>
  <c r="BA22" i="9"/>
  <c r="BB21" i="9"/>
  <c r="EO22" i="9"/>
  <c r="EP21" i="9"/>
  <c r="IP20" i="9"/>
  <c r="IO21" i="9"/>
  <c r="CS24" i="9"/>
  <c r="CT23" i="9"/>
  <c r="N21" i="9"/>
  <c r="O20" i="9"/>
  <c r="A20" i="9" s="1"/>
  <c r="AO22" i="9"/>
  <c r="AP21" i="9"/>
  <c r="D21" i="5"/>
  <c r="E20" i="5"/>
  <c r="EH22" i="9"/>
  <c r="EG23" i="9"/>
  <c r="I26" i="5"/>
  <c r="J25" i="5"/>
  <c r="GP21" i="9"/>
  <c r="GO22" i="9"/>
  <c r="GC22" i="9"/>
  <c r="GD21" i="9"/>
  <c r="BV21" i="9"/>
  <c r="BU22" i="9"/>
  <c r="BN21" i="9"/>
  <c r="BM22" i="9"/>
  <c r="BR22" i="9"/>
  <c r="BQ23" i="9"/>
  <c r="AN34" i="5"/>
  <c r="A34" i="5" s="1"/>
  <c r="AM35" i="5"/>
  <c r="JA21" i="9"/>
  <c r="JB20" i="9"/>
  <c r="KS20" i="9"/>
  <c r="KT19" i="9"/>
  <c r="FN21" i="9"/>
  <c r="FM22" i="9"/>
  <c r="AL21" i="9"/>
  <c r="AK22" i="9"/>
  <c r="CH37" i="9"/>
  <c r="CG38" i="9"/>
  <c r="DU23" i="9"/>
  <c r="DV22" i="9"/>
  <c r="GW23" i="9"/>
  <c r="GX22" i="9"/>
  <c r="X21" i="5"/>
  <c r="Y20" i="5"/>
  <c r="A269" i="9"/>
  <c r="T20" i="9"/>
  <c r="IX20" i="9"/>
  <c r="IW21" i="9"/>
  <c r="BI26" i="9"/>
  <c r="BJ25" i="9"/>
  <c r="DY21" i="9"/>
  <c r="DZ20" i="9"/>
  <c r="EW21" i="9"/>
  <c r="EX21" i="9" s="1"/>
  <c r="EX20" i="9"/>
  <c r="JJ21" i="9"/>
  <c r="JI22" i="9"/>
  <c r="DF20" i="9"/>
  <c r="DE21" i="9"/>
  <c r="HB22" i="9"/>
  <c r="HA23" i="9"/>
  <c r="GT21" i="9"/>
  <c r="GS22" i="9"/>
  <c r="GH21" i="9"/>
  <c r="GG22" i="9"/>
  <c r="FQ23" i="9"/>
  <c r="FR22" i="9"/>
  <c r="DB23" i="9"/>
  <c r="DA24" i="9"/>
  <c r="AX20" i="5"/>
  <c r="AW21" i="5"/>
  <c r="FU22" i="9"/>
  <c r="FV21" i="9"/>
  <c r="FI24" i="9"/>
  <c r="FJ23" i="9"/>
  <c r="KX19" i="9"/>
  <c r="KW20" i="9"/>
  <c r="DN20" i="9"/>
  <c r="DM21" i="9"/>
  <c r="CK23" i="9"/>
  <c r="CL22" i="9"/>
  <c r="AR28" i="5"/>
  <c r="AS27" i="5"/>
  <c r="JY22" i="9"/>
  <c r="JZ21" i="9"/>
  <c r="HF22" i="9"/>
  <c r="HE23" i="9"/>
  <c r="AH21" i="9"/>
  <c r="AG22" i="9"/>
  <c r="HR22" i="9"/>
  <c r="HQ23" i="9"/>
  <c r="IT25" i="9"/>
  <c r="IS26" i="9"/>
  <c r="JU37" i="9"/>
  <c r="JV36" i="9"/>
  <c r="IL20" i="9"/>
  <c r="IK21" i="9"/>
  <c r="GL20" i="9"/>
  <c r="GK21" i="9"/>
  <c r="KL24" i="9"/>
  <c r="KK25" i="9"/>
  <c r="JE20" i="9"/>
  <c r="JF19" i="9"/>
  <c r="FY26" i="9"/>
  <c r="FZ25" i="9"/>
  <c r="LQ41" i="9" l="1"/>
  <c r="LR41" i="9" s="1"/>
  <c r="LM36" i="9"/>
  <c r="LN36" i="9" s="1"/>
  <c r="LJ32" i="9"/>
  <c r="LI33" i="9"/>
  <c r="IG23" i="9"/>
  <c r="IH22" i="9"/>
  <c r="FE22" i="9"/>
  <c r="FF21" i="9"/>
  <c r="ES22" i="9"/>
  <c r="ET21" i="9"/>
  <c r="AS21" i="9"/>
  <c r="AT20" i="9"/>
  <c r="BZ22" i="9"/>
  <c r="BY23" i="9"/>
  <c r="CD20" i="9"/>
  <c r="CC21" i="9"/>
  <c r="EL21" i="9"/>
  <c r="EK22" i="9"/>
  <c r="JM25" i="9"/>
  <c r="JN24" i="9"/>
  <c r="KO24" i="9"/>
  <c r="KP23" i="9"/>
  <c r="CP22" i="9"/>
  <c r="CO23" i="9"/>
  <c r="KC22" i="9"/>
  <c r="KD21" i="9"/>
  <c r="KG33" i="9"/>
  <c r="KH32" i="9"/>
  <c r="LA27" i="9"/>
  <c r="LB27" i="9" s="1"/>
  <c r="BB25" i="5"/>
  <c r="BC25" i="5" s="1"/>
  <c r="KW21" i="9"/>
  <c r="KX20" i="9"/>
  <c r="JJ22" i="9"/>
  <c r="JI23" i="9"/>
  <c r="GO23" i="9"/>
  <c r="GP22" i="9"/>
  <c r="FY27" i="9"/>
  <c r="FZ26" i="9"/>
  <c r="JE21" i="9"/>
  <c r="JF20" i="9"/>
  <c r="JU38" i="9"/>
  <c r="JV37" i="9"/>
  <c r="AS28" i="5"/>
  <c r="AR29" i="5"/>
  <c r="FV22" i="9"/>
  <c r="FU23" i="9"/>
  <c r="FQ24" i="9"/>
  <c r="FR23" i="9"/>
  <c r="DY22" i="9"/>
  <c r="DZ21" i="9"/>
  <c r="GX23" i="9"/>
  <c r="GW24" i="9"/>
  <c r="JA22" i="9"/>
  <c r="JB21" i="9"/>
  <c r="D22" i="5"/>
  <c r="E21" i="5"/>
  <c r="N22" i="9"/>
  <c r="O21" i="9"/>
  <c r="A21" i="9" s="1"/>
  <c r="BA23" i="9"/>
  <c r="BB22" i="9"/>
  <c r="AC28" i="5"/>
  <c r="AD27" i="5"/>
  <c r="T20" i="5"/>
  <c r="S21" i="5"/>
  <c r="O23" i="5"/>
  <c r="N24" i="5"/>
  <c r="GK22" i="9"/>
  <c r="GL21" i="9"/>
  <c r="HF23" i="9"/>
  <c r="HE24" i="9"/>
  <c r="GT22" i="9"/>
  <c r="GS23" i="9"/>
  <c r="CH38" i="9"/>
  <c r="CG39" i="9"/>
  <c r="BR23" i="9"/>
  <c r="BQ24" i="9"/>
  <c r="IP21" i="9"/>
  <c r="IO22" i="9"/>
  <c r="BE23" i="9"/>
  <c r="BF22" i="9"/>
  <c r="KL25" i="9"/>
  <c r="KK26" i="9"/>
  <c r="IK22" i="9"/>
  <c r="IL21" i="9"/>
  <c r="IS27" i="9"/>
  <c r="IT26" i="9"/>
  <c r="AH22" i="9"/>
  <c r="AG23" i="9"/>
  <c r="DB24" i="9"/>
  <c r="DA25" i="9"/>
  <c r="GG23" i="9"/>
  <c r="GH22" i="9"/>
  <c r="HB23" i="9"/>
  <c r="HA24" i="9"/>
  <c r="IW22" i="9"/>
  <c r="IX21" i="9"/>
  <c r="AK23" i="9"/>
  <c r="AL22" i="9"/>
  <c r="AM36" i="5"/>
  <c r="AN35" i="5"/>
  <c r="A35" i="5" s="1"/>
  <c r="BN22" i="9"/>
  <c r="BM23" i="9"/>
  <c r="JR21" i="9"/>
  <c r="JQ22" i="9"/>
  <c r="FB21" i="9"/>
  <c r="FA22" i="9"/>
  <c r="ED23" i="9"/>
  <c r="EC24" i="9"/>
  <c r="CX21" i="9"/>
  <c r="CW22" i="9"/>
  <c r="HR23" i="9"/>
  <c r="HQ24" i="9"/>
  <c r="DM22" i="9"/>
  <c r="DN21" i="9"/>
  <c r="AX21" i="5"/>
  <c r="AW22" i="5"/>
  <c r="DF21" i="9"/>
  <c r="DE22" i="9"/>
  <c r="FN22" i="9"/>
  <c r="FM23" i="9"/>
  <c r="BV22" i="9"/>
  <c r="BU23" i="9"/>
  <c r="EH23" i="9"/>
  <c r="EG24" i="9"/>
  <c r="AH21" i="5"/>
  <c r="AI20" i="5"/>
  <c r="A270" i="9"/>
  <c r="T21" i="9"/>
  <c r="JZ22" i="9"/>
  <c r="JY23" i="9"/>
  <c r="CK24" i="9"/>
  <c r="CL23" i="9"/>
  <c r="FI25" i="9"/>
  <c r="FJ24" i="9"/>
  <c r="BJ26" i="9"/>
  <c r="BI27" i="9"/>
  <c r="Y21" i="5"/>
  <c r="X22" i="5"/>
  <c r="DV23" i="9"/>
  <c r="DU24" i="9"/>
  <c r="KT20" i="9"/>
  <c r="KS21" i="9"/>
  <c r="GC23" i="9"/>
  <c r="GD22" i="9"/>
  <c r="I27" i="5"/>
  <c r="J26" i="5"/>
  <c r="AO23" i="9"/>
  <c r="AP22" i="9"/>
  <c r="CS25" i="9"/>
  <c r="CT24" i="9"/>
  <c r="EO23" i="9"/>
  <c r="EP22" i="9"/>
  <c r="AW23" i="9"/>
  <c r="AX22" i="9"/>
  <c r="LQ42" i="9" l="1"/>
  <c r="LR42" i="9" s="1"/>
  <c r="LM37" i="9"/>
  <c r="LN37" i="9" s="1"/>
  <c r="LJ33" i="9"/>
  <c r="LI34" i="9"/>
  <c r="IG24" i="9"/>
  <c r="IH23" i="9"/>
  <c r="KC23" i="9"/>
  <c r="KD22" i="9"/>
  <c r="EK23" i="9"/>
  <c r="EL22" i="9"/>
  <c r="BY24" i="9"/>
  <c r="BZ23" i="9"/>
  <c r="CP23" i="9"/>
  <c r="CO24" i="9"/>
  <c r="KO25" i="9"/>
  <c r="KP24" i="9"/>
  <c r="ES23" i="9"/>
  <c r="ET22" i="9"/>
  <c r="KG34" i="9"/>
  <c r="KH33" i="9"/>
  <c r="CD21" i="9"/>
  <c r="CC22" i="9"/>
  <c r="JN25" i="9"/>
  <c r="JM26" i="9"/>
  <c r="AT21" i="9"/>
  <c r="AS22" i="9"/>
  <c r="FE23" i="9"/>
  <c r="FF22" i="9"/>
  <c r="LA28" i="9"/>
  <c r="LB28" i="9" s="1"/>
  <c r="BB26" i="5"/>
  <c r="BC26" i="5" s="1"/>
  <c r="CS26" i="9"/>
  <c r="CT25" i="9"/>
  <c r="GD23" i="9"/>
  <c r="GC24" i="9"/>
  <c r="IW23" i="9"/>
  <c r="IX22" i="9"/>
  <c r="IK23" i="9"/>
  <c r="IL22" i="9"/>
  <c r="E22" i="5"/>
  <c r="D23" i="5"/>
  <c r="JF21" i="9"/>
  <c r="JE22" i="9"/>
  <c r="KX21" i="9"/>
  <c r="KW22" i="9"/>
  <c r="KT21" i="9"/>
  <c r="KS22" i="9"/>
  <c r="BV23" i="9"/>
  <c r="BU24" i="9"/>
  <c r="DE23" i="9"/>
  <c r="DF22" i="9"/>
  <c r="CX22" i="9"/>
  <c r="CW23" i="9"/>
  <c r="KK27" i="9"/>
  <c r="KL26" i="9"/>
  <c r="IP22" i="9"/>
  <c r="IO23" i="9"/>
  <c r="CH39" i="9"/>
  <c r="CG40" i="9"/>
  <c r="HF24" i="9"/>
  <c r="HE25" i="9"/>
  <c r="O24" i="5"/>
  <c r="N25" i="5"/>
  <c r="GX24" i="9"/>
  <c r="GW25" i="9"/>
  <c r="FU24" i="9"/>
  <c r="FV23" i="9"/>
  <c r="JJ23" i="9"/>
  <c r="JI24" i="9"/>
  <c r="EO24" i="9"/>
  <c r="EP23" i="9"/>
  <c r="AO24" i="9"/>
  <c r="AP23" i="9"/>
  <c r="FJ25" i="9"/>
  <c r="FI26" i="9"/>
  <c r="CK25" i="9"/>
  <c r="CL24" i="9"/>
  <c r="AI21" i="5"/>
  <c r="AH22" i="5"/>
  <c r="DM23" i="9"/>
  <c r="DN22" i="9"/>
  <c r="AL23" i="9"/>
  <c r="AK24" i="9"/>
  <c r="GG24" i="9"/>
  <c r="GH23" i="9"/>
  <c r="IS28" i="9"/>
  <c r="IT27" i="9"/>
  <c r="AC29" i="5"/>
  <c r="AD28" i="5"/>
  <c r="N23" i="9"/>
  <c r="O22" i="9"/>
  <c r="A22" i="9" s="1"/>
  <c r="DY23" i="9"/>
  <c r="DZ22" i="9"/>
  <c r="JV38" i="9"/>
  <c r="JU39" i="9"/>
  <c r="FY28" i="9"/>
  <c r="FZ27" i="9"/>
  <c r="AW24" i="9"/>
  <c r="AX23" i="9"/>
  <c r="I28" i="5"/>
  <c r="J27" i="5"/>
  <c r="AN36" i="5"/>
  <c r="A36" i="5" s="1"/>
  <c r="AM37" i="5"/>
  <c r="A271" i="9"/>
  <c r="T22" i="9"/>
  <c r="BE24" i="9"/>
  <c r="BF23" i="9"/>
  <c r="GK23" i="9"/>
  <c r="GL22" i="9"/>
  <c r="BA24" i="9"/>
  <c r="BB23" i="9"/>
  <c r="JA23" i="9"/>
  <c r="JB22" i="9"/>
  <c r="FQ25" i="9"/>
  <c r="FR24" i="9"/>
  <c r="GP23" i="9"/>
  <c r="GO24" i="9"/>
  <c r="Y22" i="5"/>
  <c r="X23" i="5"/>
  <c r="FA23" i="9"/>
  <c r="FB22" i="9"/>
  <c r="BN23" i="9"/>
  <c r="BM24" i="9"/>
  <c r="DU25" i="9"/>
  <c r="DV24" i="9"/>
  <c r="BI28" i="9"/>
  <c r="BJ27" i="9"/>
  <c r="JY24" i="9"/>
  <c r="JZ23" i="9"/>
  <c r="EG25" i="9"/>
  <c r="EH24" i="9"/>
  <c r="FN23" i="9"/>
  <c r="FM24" i="9"/>
  <c r="AW23" i="5"/>
  <c r="AX22" i="5"/>
  <c r="HQ25" i="9"/>
  <c r="HR24" i="9"/>
  <c r="ED24" i="9"/>
  <c r="EC25" i="9"/>
  <c r="JQ23" i="9"/>
  <c r="JR22" i="9"/>
  <c r="HB24" i="9"/>
  <c r="HA25" i="9"/>
  <c r="DB25" i="9"/>
  <c r="DA26" i="9"/>
  <c r="AH23" i="9"/>
  <c r="AG24" i="9"/>
  <c r="BQ25" i="9"/>
  <c r="BR24" i="9"/>
  <c r="GT23" i="9"/>
  <c r="GS24" i="9"/>
  <c r="S22" i="5"/>
  <c r="T21" i="5"/>
  <c r="AR30" i="5"/>
  <c r="AS29" i="5"/>
  <c r="LQ43" i="9" l="1"/>
  <c r="LR43" i="9" s="1"/>
  <c r="LM38" i="9"/>
  <c r="LN38" i="9" s="1"/>
  <c r="LJ34" i="9"/>
  <c r="LI35" i="9"/>
  <c r="IG25" i="9"/>
  <c r="IH24" i="9"/>
  <c r="AT22" i="9"/>
  <c r="AS23" i="9"/>
  <c r="CC23" i="9"/>
  <c r="CD22" i="9"/>
  <c r="CP24" i="9"/>
  <c r="CO25" i="9"/>
  <c r="ES24" i="9"/>
  <c r="ET23" i="9"/>
  <c r="EL23" i="9"/>
  <c r="EK24" i="9"/>
  <c r="JN26" i="9"/>
  <c r="JM27" i="9"/>
  <c r="FE24" i="9"/>
  <c r="FF23" i="9"/>
  <c r="KG35" i="9"/>
  <c r="KH34" i="9"/>
  <c r="KP25" i="9"/>
  <c r="KO26" i="9"/>
  <c r="BZ24" i="9"/>
  <c r="BY25" i="9"/>
  <c r="KC24" i="9"/>
  <c r="KD23" i="9"/>
  <c r="LA29" i="9"/>
  <c r="LB29" i="9" s="1"/>
  <c r="BB27" i="5"/>
  <c r="BC27" i="5" s="1"/>
  <c r="AM38" i="5"/>
  <c r="AN37" i="5"/>
  <c r="A37" i="5" s="1"/>
  <c r="KT22" i="9"/>
  <c r="KS23" i="9"/>
  <c r="JE23" i="9"/>
  <c r="JF22" i="9"/>
  <c r="E23" i="5"/>
  <c r="D24" i="5"/>
  <c r="GC25" i="9"/>
  <c r="GD24" i="9"/>
  <c r="S23" i="5"/>
  <c r="T22" i="5"/>
  <c r="BR25" i="9"/>
  <c r="BQ26" i="9"/>
  <c r="JQ24" i="9"/>
  <c r="JR23" i="9"/>
  <c r="HQ26" i="9"/>
  <c r="HR25" i="9"/>
  <c r="BI29" i="9"/>
  <c r="BJ28" i="9"/>
  <c r="FQ26" i="9"/>
  <c r="FR25" i="9"/>
  <c r="BB24" i="9"/>
  <c r="BA25" i="9"/>
  <c r="BF24" i="9"/>
  <c r="BE25" i="9"/>
  <c r="J28" i="5"/>
  <c r="I29" i="5"/>
  <c r="FY29" i="9"/>
  <c r="FZ28" i="9"/>
  <c r="DY24" i="9"/>
  <c r="DZ23" i="9"/>
  <c r="AC30" i="5"/>
  <c r="AD29" i="5"/>
  <c r="DM24" i="9"/>
  <c r="DN23" i="9"/>
  <c r="CK26" i="9"/>
  <c r="CL25" i="9"/>
  <c r="EO25" i="9"/>
  <c r="EP24" i="9"/>
  <c r="FV24" i="9"/>
  <c r="FU25" i="9"/>
  <c r="DE24" i="9"/>
  <c r="DF23" i="9"/>
  <c r="IW24" i="9"/>
  <c r="IX23" i="9"/>
  <c r="FN24" i="9"/>
  <c r="FM25" i="9"/>
  <c r="BN24" i="9"/>
  <c r="BM25" i="9"/>
  <c r="IP23" i="9"/>
  <c r="IO24" i="9"/>
  <c r="GS25" i="9"/>
  <c r="GT24" i="9"/>
  <c r="AG25" i="9"/>
  <c r="AH24" i="9"/>
  <c r="HA26" i="9"/>
  <c r="HB25" i="9"/>
  <c r="EC26" i="9"/>
  <c r="ED25" i="9"/>
  <c r="GP24" i="9"/>
  <c r="GO25" i="9"/>
  <c r="JU40" i="9"/>
  <c r="JV39" i="9"/>
  <c r="AK25" i="9"/>
  <c r="AL24" i="9"/>
  <c r="AH23" i="5"/>
  <c r="AI22" i="5"/>
  <c r="FI27" i="9"/>
  <c r="FJ26" i="9"/>
  <c r="JJ24" i="9"/>
  <c r="JI25" i="9"/>
  <c r="GW26" i="9"/>
  <c r="GX25" i="9"/>
  <c r="O25" i="5"/>
  <c r="N26" i="5"/>
  <c r="CH40" i="9"/>
  <c r="CG41" i="9"/>
  <c r="CX23" i="9"/>
  <c r="CW24" i="9"/>
  <c r="BV24" i="9"/>
  <c r="BU25" i="9"/>
  <c r="KW23" i="9"/>
  <c r="KX22" i="9"/>
  <c r="DA27" i="9"/>
  <c r="DB26" i="9"/>
  <c r="Y23" i="5"/>
  <c r="X24" i="5"/>
  <c r="HE26" i="9"/>
  <c r="HF25" i="9"/>
  <c r="AR31" i="5"/>
  <c r="AS30" i="5"/>
  <c r="A272" i="9"/>
  <c r="T23" i="9"/>
  <c r="AW24" i="5"/>
  <c r="AX23" i="5"/>
  <c r="EG26" i="9"/>
  <c r="EH25" i="9"/>
  <c r="JY25" i="9"/>
  <c r="JZ24" i="9"/>
  <c r="DU26" i="9"/>
  <c r="DV25" i="9"/>
  <c r="FA24" i="9"/>
  <c r="FB23" i="9"/>
  <c r="JB23" i="9"/>
  <c r="JA24" i="9"/>
  <c r="GK24" i="9"/>
  <c r="GL23" i="9"/>
  <c r="AW25" i="9"/>
  <c r="AX24" i="9"/>
  <c r="N24" i="9"/>
  <c r="O23" i="9"/>
  <c r="A23" i="9" s="1"/>
  <c r="IS29" i="9"/>
  <c r="IT28" i="9"/>
  <c r="GH24" i="9"/>
  <c r="GG25" i="9"/>
  <c r="AO25" i="9"/>
  <c r="AP24" i="9"/>
  <c r="KK28" i="9"/>
  <c r="KL27" i="9"/>
  <c r="IK24" i="9"/>
  <c r="IL23" i="9"/>
  <c r="CS27" i="9"/>
  <c r="CT27" i="9" s="1"/>
  <c r="CT26" i="9"/>
  <c r="LQ44" i="9" l="1"/>
  <c r="LR44" i="9" s="1"/>
  <c r="LM39" i="9"/>
  <c r="LN39" i="9" s="1"/>
  <c r="LJ35" i="9"/>
  <c r="LI36" i="9"/>
  <c r="IH25" i="9"/>
  <c r="IG26" i="9"/>
  <c r="BZ25" i="9"/>
  <c r="BY26" i="9"/>
  <c r="JN27" i="9"/>
  <c r="JM28" i="9"/>
  <c r="KG36" i="9"/>
  <c r="KH35" i="9"/>
  <c r="ET24" i="9"/>
  <c r="ES25" i="9"/>
  <c r="CC24" i="9"/>
  <c r="CD23" i="9"/>
  <c r="KP26" i="9"/>
  <c r="KO27" i="9"/>
  <c r="EK25" i="9"/>
  <c r="EL25" i="9" s="1"/>
  <c r="EL24" i="9"/>
  <c r="CO26" i="9"/>
  <c r="CP25" i="9"/>
  <c r="AT23" i="9"/>
  <c r="AS24" i="9"/>
  <c r="KD24" i="9"/>
  <c r="KC25" i="9"/>
  <c r="FE25" i="9"/>
  <c r="FF24" i="9"/>
  <c r="LA30" i="9"/>
  <c r="LB30" i="9" s="1"/>
  <c r="BB28" i="5"/>
  <c r="BC28" i="5" s="1"/>
  <c r="CH41" i="9"/>
  <c r="CG42" i="9"/>
  <c r="A273" i="9"/>
  <c r="T24" i="9"/>
  <c r="FN25" i="9"/>
  <c r="FM26" i="9"/>
  <c r="FV25" i="9"/>
  <c r="FU26" i="9"/>
  <c r="D25" i="5"/>
  <c r="E24" i="5"/>
  <c r="AO26" i="9"/>
  <c r="AP25" i="9"/>
  <c r="IS30" i="9"/>
  <c r="IT29" i="9"/>
  <c r="AW26" i="9"/>
  <c r="AX25" i="9"/>
  <c r="DV26" i="9"/>
  <c r="DU27" i="9"/>
  <c r="EG27" i="9"/>
  <c r="EH26" i="9"/>
  <c r="HE27" i="9"/>
  <c r="HF26" i="9"/>
  <c r="DA28" i="9"/>
  <c r="DB27" i="9"/>
  <c r="GX26" i="9"/>
  <c r="GW27" i="9"/>
  <c r="FI28" i="9"/>
  <c r="FJ27" i="9"/>
  <c r="AL25" i="9"/>
  <c r="AK26" i="9"/>
  <c r="ED26" i="9"/>
  <c r="EC27" i="9"/>
  <c r="AG26" i="9"/>
  <c r="AH25" i="9"/>
  <c r="DF24" i="9"/>
  <c r="DE25" i="9"/>
  <c r="DN24" i="9"/>
  <c r="DM25" i="9"/>
  <c r="AC31" i="5"/>
  <c r="AD30" i="5"/>
  <c r="FZ29" i="9"/>
  <c r="FY30" i="9"/>
  <c r="FQ27" i="9"/>
  <c r="FR26" i="9"/>
  <c r="JQ25" i="9"/>
  <c r="JR24" i="9"/>
  <c r="S24" i="5"/>
  <c r="T23" i="5"/>
  <c r="JA25" i="9"/>
  <c r="JB24" i="9"/>
  <c r="BV25" i="9"/>
  <c r="BU26" i="9"/>
  <c r="IP24" i="9"/>
  <c r="IO25" i="9"/>
  <c r="BE26" i="9"/>
  <c r="BF25" i="9"/>
  <c r="KS24" i="9"/>
  <c r="KT23" i="9"/>
  <c r="GH25" i="9"/>
  <c r="GG26" i="9"/>
  <c r="Y24" i="5"/>
  <c r="X25" i="5"/>
  <c r="CX24" i="9"/>
  <c r="CW25" i="9"/>
  <c r="N27" i="5"/>
  <c r="O26" i="5"/>
  <c r="JJ25" i="9"/>
  <c r="JI26" i="9"/>
  <c r="GP25" i="9"/>
  <c r="GO26" i="9"/>
  <c r="BM26" i="9"/>
  <c r="BN25" i="9"/>
  <c r="I30" i="5"/>
  <c r="J29" i="5"/>
  <c r="BB25" i="9"/>
  <c r="BA26" i="9"/>
  <c r="BQ27" i="9"/>
  <c r="BR26" i="9"/>
  <c r="IL24" i="9"/>
  <c r="IK25" i="9"/>
  <c r="KK29" i="9"/>
  <c r="KL28" i="9"/>
  <c r="N25" i="9"/>
  <c r="O24" i="9"/>
  <c r="A24" i="9" s="1"/>
  <c r="GK25" i="9"/>
  <c r="GL24" i="9"/>
  <c r="FA25" i="9"/>
  <c r="FB24" i="9"/>
  <c r="JY26" i="9"/>
  <c r="JZ25" i="9"/>
  <c r="AX24" i="5"/>
  <c r="AW25" i="5"/>
  <c r="AR32" i="5"/>
  <c r="AS31" i="5"/>
  <c r="KX23" i="9"/>
  <c r="KW24" i="9"/>
  <c r="AI23" i="5"/>
  <c r="AH24" i="5"/>
  <c r="JU41" i="9"/>
  <c r="JV40" i="9"/>
  <c r="HA27" i="9"/>
  <c r="HB26" i="9"/>
  <c r="GS26" i="9"/>
  <c r="GT25" i="9"/>
  <c r="IX24" i="9"/>
  <c r="IW25" i="9"/>
  <c r="EO26" i="9"/>
  <c r="EP25" i="9"/>
  <c r="CK27" i="9"/>
  <c r="CL26" i="9"/>
  <c r="DY25" i="9"/>
  <c r="DZ24" i="9"/>
  <c r="BI30" i="9"/>
  <c r="BJ29" i="9"/>
  <c r="HR26" i="9"/>
  <c r="HQ27" i="9"/>
  <c r="GD25" i="9"/>
  <c r="GC26" i="9"/>
  <c r="JE24" i="9"/>
  <c r="JF23" i="9"/>
  <c r="AM39" i="5"/>
  <c r="AN38" i="5"/>
  <c r="A38" i="5" s="1"/>
  <c r="LM40" i="9" l="1"/>
  <c r="LN40" i="9" s="1"/>
  <c r="LJ36" i="9"/>
  <c r="LI37" i="9"/>
  <c r="IG27" i="9"/>
  <c r="IH26" i="9"/>
  <c r="KC26" i="9"/>
  <c r="KD25" i="9"/>
  <c r="KP27" i="9"/>
  <c r="KO28" i="9"/>
  <c r="ET25" i="9"/>
  <c r="ES26" i="9"/>
  <c r="JM29" i="9"/>
  <c r="JN28" i="9"/>
  <c r="CO27" i="9"/>
  <c r="CP26" i="9"/>
  <c r="AS25" i="9"/>
  <c r="AT24" i="9"/>
  <c r="BZ26" i="9"/>
  <c r="BY27" i="9"/>
  <c r="FF25" i="9"/>
  <c r="FE26" i="9"/>
  <c r="CC25" i="9"/>
  <c r="CD24" i="9"/>
  <c r="KG37" i="9"/>
  <c r="KH37" i="9" s="1"/>
  <c r="KH36" i="9"/>
  <c r="LA31" i="9"/>
  <c r="LB31" i="9" s="1"/>
  <c r="BB29" i="5"/>
  <c r="BC29" i="5" s="1"/>
  <c r="GC27" i="9"/>
  <c r="GD26" i="9"/>
  <c r="IW26" i="9"/>
  <c r="IX25" i="9"/>
  <c r="BB26" i="9"/>
  <c r="BA27" i="9"/>
  <c r="JJ26" i="9"/>
  <c r="JI27" i="9"/>
  <c r="CX25" i="9"/>
  <c r="CW26" i="9"/>
  <c r="GG27" i="9"/>
  <c r="GH26" i="9"/>
  <c r="BV26" i="9"/>
  <c r="BU27" i="9"/>
  <c r="A274" i="9"/>
  <c r="T25" i="9"/>
  <c r="AK27" i="9"/>
  <c r="AL26" i="9"/>
  <c r="GW28" i="9"/>
  <c r="GX27" i="9"/>
  <c r="DV27" i="9"/>
  <c r="DU28" i="9"/>
  <c r="AM40" i="5"/>
  <c r="AN39" i="5"/>
  <c r="A39" i="5" s="1"/>
  <c r="JY27" i="9"/>
  <c r="JZ26" i="9"/>
  <c r="KK30" i="9"/>
  <c r="KL29" i="9"/>
  <c r="JQ26" i="9"/>
  <c r="JR25" i="9"/>
  <c r="AC32" i="5"/>
  <c r="AD31" i="5"/>
  <c r="AG27" i="9"/>
  <c r="AH26" i="9"/>
  <c r="HE28" i="9"/>
  <c r="HF27" i="9"/>
  <c r="IT30" i="9"/>
  <c r="IS31" i="9"/>
  <c r="HR27" i="9"/>
  <c r="HQ28" i="9"/>
  <c r="KW25" i="9"/>
  <c r="KX24" i="9"/>
  <c r="AX25" i="5"/>
  <c r="AW26" i="5"/>
  <c r="IL25" i="9"/>
  <c r="IK26" i="9"/>
  <c r="GP26" i="9"/>
  <c r="GO27" i="9"/>
  <c r="X26" i="5"/>
  <c r="Y25" i="5"/>
  <c r="IP25" i="9"/>
  <c r="IO26" i="9"/>
  <c r="FZ30" i="9"/>
  <c r="FY31" i="9"/>
  <c r="DN25" i="9"/>
  <c r="DM26" i="9"/>
  <c r="DF25" i="9"/>
  <c r="DE26" i="9"/>
  <c r="ED27" i="9"/>
  <c r="EC28" i="9"/>
  <c r="FN26" i="9"/>
  <c r="FM27" i="9"/>
  <c r="AH25" i="5"/>
  <c r="AI24" i="5"/>
  <c r="FV26" i="9"/>
  <c r="FU27" i="9"/>
  <c r="CG43" i="9"/>
  <c r="CH42" i="9"/>
  <c r="BI31" i="9"/>
  <c r="BJ31" i="9" s="1"/>
  <c r="BJ30" i="9"/>
  <c r="EP26" i="9"/>
  <c r="EO27" i="9"/>
  <c r="HB27" i="9"/>
  <c r="HA28" i="9"/>
  <c r="AR33" i="5"/>
  <c r="AS32" i="5"/>
  <c r="GL25" i="9"/>
  <c r="GK26" i="9"/>
  <c r="BM27" i="9"/>
  <c r="BN26" i="9"/>
  <c r="BE27" i="9"/>
  <c r="BF26" i="9"/>
  <c r="FR27" i="9"/>
  <c r="FQ28" i="9"/>
  <c r="JF24" i="9"/>
  <c r="JE25" i="9"/>
  <c r="DY26" i="9"/>
  <c r="DZ25" i="9"/>
  <c r="CK28" i="9"/>
  <c r="CL27" i="9"/>
  <c r="GT26" i="9"/>
  <c r="GS27" i="9"/>
  <c r="JU42" i="9"/>
  <c r="JV41" i="9"/>
  <c r="FB25" i="9"/>
  <c r="FA26" i="9"/>
  <c r="N26" i="9"/>
  <c r="O25" i="9"/>
  <c r="A25" i="9" s="1"/>
  <c r="BR27" i="9"/>
  <c r="BQ28" i="9"/>
  <c r="I31" i="5"/>
  <c r="J30" i="5"/>
  <c r="N28" i="5"/>
  <c r="O27" i="5"/>
  <c r="KT24" i="9"/>
  <c r="KS25" i="9"/>
  <c r="JA26" i="9"/>
  <c r="JB25" i="9"/>
  <c r="T24" i="5"/>
  <c r="S25" i="5"/>
  <c r="FJ28" i="9"/>
  <c r="FI29" i="9"/>
  <c r="DB28" i="9"/>
  <c r="DA29" i="9"/>
  <c r="EH27" i="9"/>
  <c r="EG28" i="9"/>
  <c r="AX26" i="9"/>
  <c r="AW27" i="9"/>
  <c r="AO27" i="9"/>
  <c r="AP26" i="9"/>
  <c r="E25" i="5"/>
  <c r="D26" i="5"/>
  <c r="LM41" i="9" l="1"/>
  <c r="LN41" i="9" s="1"/>
  <c r="LJ37" i="9"/>
  <c r="LI38" i="9"/>
  <c r="IG28" i="9"/>
  <c r="IH27" i="9"/>
  <c r="FF26" i="9"/>
  <c r="FE27" i="9"/>
  <c r="KO29" i="9"/>
  <c r="KP28" i="9"/>
  <c r="AT25" i="9"/>
  <c r="AS26" i="9"/>
  <c r="JM30" i="9"/>
  <c r="JN29" i="9"/>
  <c r="BY28" i="9"/>
  <c r="BZ27" i="9"/>
  <c r="ET26" i="9"/>
  <c r="ES27" i="9"/>
  <c r="CC26" i="9"/>
  <c r="CD25" i="9"/>
  <c r="CO28" i="9"/>
  <c r="CP27" i="9"/>
  <c r="KC27" i="9"/>
  <c r="KD26" i="9"/>
  <c r="LA32" i="9"/>
  <c r="LB32" i="9" s="1"/>
  <c r="BB30" i="5"/>
  <c r="BC30" i="5" s="1"/>
  <c r="AX27" i="9"/>
  <c r="AW28" i="9"/>
  <c r="S26" i="5"/>
  <c r="T25" i="5"/>
  <c r="FN27" i="9"/>
  <c r="FM28" i="9"/>
  <c r="CX26" i="9"/>
  <c r="CW27" i="9"/>
  <c r="BB27" i="9"/>
  <c r="BA28" i="9"/>
  <c r="O26" i="9"/>
  <c r="A26" i="9" s="1"/>
  <c r="N27" i="9"/>
  <c r="BF27" i="9"/>
  <c r="BE28" i="9"/>
  <c r="AR34" i="5"/>
  <c r="AS33" i="5"/>
  <c r="CG44" i="9"/>
  <c r="CH43" i="9"/>
  <c r="HF28" i="9"/>
  <c r="HE29" i="9"/>
  <c r="AC33" i="5"/>
  <c r="AD32" i="5"/>
  <c r="AM41" i="5"/>
  <c r="AN40" i="5"/>
  <c r="A40" i="5" s="1"/>
  <c r="GX28" i="9"/>
  <c r="GW29" i="9"/>
  <c r="EG29" i="9"/>
  <c r="EH28" i="9"/>
  <c r="FJ29" i="9"/>
  <c r="FI30" i="9"/>
  <c r="BR28" i="9"/>
  <c r="BQ29" i="9"/>
  <c r="FA27" i="9"/>
  <c r="FB26" i="9"/>
  <c r="GS28" i="9"/>
  <c r="GT27" i="9"/>
  <c r="JF25" i="9"/>
  <c r="JE26" i="9"/>
  <c r="FR28" i="9"/>
  <c r="FQ29" i="9"/>
  <c r="GK27" i="9"/>
  <c r="GL26" i="9"/>
  <c r="HA29" i="9"/>
  <c r="HB28" i="9"/>
  <c r="FV27" i="9"/>
  <c r="FU28" i="9"/>
  <c r="ED28" i="9"/>
  <c r="EC29" i="9"/>
  <c r="DM27" i="9"/>
  <c r="DN26" i="9"/>
  <c r="IP26" i="9"/>
  <c r="IO27" i="9"/>
  <c r="GP27" i="9"/>
  <c r="GO28" i="9"/>
  <c r="AW27" i="5"/>
  <c r="AX26" i="5"/>
  <c r="HR28" i="9"/>
  <c r="HQ29" i="9"/>
  <c r="IT31" i="9"/>
  <c r="IS32" i="9"/>
  <c r="A275" i="9"/>
  <c r="T26" i="9"/>
  <c r="DU29" i="9"/>
  <c r="DV28" i="9"/>
  <c r="JJ27" i="9"/>
  <c r="JI28" i="9"/>
  <c r="JJ28" i="9" s="1"/>
  <c r="E26" i="5"/>
  <c r="D27" i="5"/>
  <c r="DA30" i="9"/>
  <c r="DB29" i="9"/>
  <c r="KT25" i="9"/>
  <c r="KS26" i="9"/>
  <c r="EO28" i="9"/>
  <c r="EP27" i="9"/>
  <c r="DF26" i="9"/>
  <c r="DE27" i="9"/>
  <c r="FY32" i="9"/>
  <c r="FZ31" i="9"/>
  <c r="IK27" i="9"/>
  <c r="IL26" i="9"/>
  <c r="BV27" i="9"/>
  <c r="BU28" i="9"/>
  <c r="I32" i="5"/>
  <c r="J31" i="5"/>
  <c r="JU43" i="9"/>
  <c r="JV42" i="9"/>
  <c r="DY27" i="9"/>
  <c r="DZ26" i="9"/>
  <c r="AH26" i="5"/>
  <c r="AI25" i="5"/>
  <c r="X27" i="5"/>
  <c r="Y26" i="5"/>
  <c r="KW26" i="9"/>
  <c r="KX25" i="9"/>
  <c r="KK31" i="9"/>
  <c r="KL30" i="9"/>
  <c r="AP27" i="9"/>
  <c r="AO28" i="9"/>
  <c r="JB26" i="9"/>
  <c r="JA27" i="9"/>
  <c r="N29" i="5"/>
  <c r="O28" i="5"/>
  <c r="CL28" i="9"/>
  <c r="CK29" i="9"/>
  <c r="BN27" i="9"/>
  <c r="BM28" i="9"/>
  <c r="AG28" i="9"/>
  <c r="AH27" i="9"/>
  <c r="JR26" i="9"/>
  <c r="JQ27" i="9"/>
  <c r="JZ27" i="9"/>
  <c r="JY28" i="9"/>
  <c r="AK28" i="9"/>
  <c r="AL27" i="9"/>
  <c r="GH27" i="9"/>
  <c r="GG28" i="9"/>
  <c r="IX26" i="9"/>
  <c r="IW27" i="9"/>
  <c r="GD27" i="9"/>
  <c r="GC28" i="9"/>
  <c r="LM42" i="9" l="1"/>
  <c r="LN42" i="9" s="1"/>
  <c r="LJ38" i="9"/>
  <c r="LI39" i="9"/>
  <c r="IH28" i="9"/>
  <c r="IG29" i="9"/>
  <c r="CO29" i="9"/>
  <c r="CP28" i="9"/>
  <c r="JN30" i="9"/>
  <c r="JM31" i="9"/>
  <c r="KP29" i="9"/>
  <c r="KO30" i="9"/>
  <c r="KD27" i="9"/>
  <c r="KC28" i="9"/>
  <c r="KD28" i="9" s="1"/>
  <c r="CD26" i="9"/>
  <c r="CC27" i="9"/>
  <c r="BZ28" i="9"/>
  <c r="BY29" i="9"/>
  <c r="AS27" i="9"/>
  <c r="AT26" i="9"/>
  <c r="FF27" i="9"/>
  <c r="FE28" i="9"/>
  <c r="ES28" i="9"/>
  <c r="ET27" i="9"/>
  <c r="LA33" i="9"/>
  <c r="LB33" i="9" s="1"/>
  <c r="BB31" i="5"/>
  <c r="BC31" i="5" s="1"/>
  <c r="GH28" i="9"/>
  <c r="GG29" i="9"/>
  <c r="CL29" i="9"/>
  <c r="CK30" i="9"/>
  <c r="DE28" i="9"/>
  <c r="DF27" i="9"/>
  <c r="KT26" i="9"/>
  <c r="KS27" i="9"/>
  <c r="BF28" i="9"/>
  <c r="BE29" i="9"/>
  <c r="N28" i="9"/>
  <c r="O27" i="9"/>
  <c r="A27" i="9" s="1"/>
  <c r="GS29" i="9"/>
  <c r="GT28" i="9"/>
  <c r="GD28" i="9"/>
  <c r="GC29" i="9"/>
  <c r="T27" i="9"/>
  <c r="A276" i="9"/>
  <c r="D28" i="5"/>
  <c r="E27" i="5"/>
  <c r="GP28" i="9"/>
  <c r="GO29" i="9"/>
  <c r="BR29" i="9"/>
  <c r="BQ30" i="9"/>
  <c r="HF29" i="9"/>
  <c r="HE30" i="9"/>
  <c r="KW27" i="9"/>
  <c r="KX26" i="9"/>
  <c r="JU44" i="9"/>
  <c r="JV43" i="9"/>
  <c r="IL27" i="9"/>
  <c r="IK28" i="9"/>
  <c r="DN27" i="9"/>
  <c r="DM28" i="9"/>
  <c r="DN28" i="9" s="1"/>
  <c r="HA30" i="9"/>
  <c r="HB29" i="9"/>
  <c r="EG30" i="9"/>
  <c r="EH29" i="9"/>
  <c r="CG45" i="9"/>
  <c r="CH44" i="9"/>
  <c r="S27" i="5"/>
  <c r="T26" i="5"/>
  <c r="IX27" i="9"/>
  <c r="IW28" i="9"/>
  <c r="JQ28" i="9"/>
  <c r="JR27" i="9"/>
  <c r="BM29" i="9"/>
  <c r="BN28" i="9"/>
  <c r="AP28" i="9"/>
  <c r="AO29" i="9"/>
  <c r="BV28" i="9"/>
  <c r="BU29" i="9"/>
  <c r="IS33" i="9"/>
  <c r="IT32" i="9"/>
  <c r="IP27" i="9"/>
  <c r="IO28" i="9"/>
  <c r="EC30" i="9"/>
  <c r="ED29" i="9"/>
  <c r="FV28" i="9"/>
  <c r="FU29" i="9"/>
  <c r="JF26" i="9"/>
  <c r="JE27" i="9"/>
  <c r="FJ30" i="9"/>
  <c r="FI31" i="9"/>
  <c r="GX29" i="9"/>
  <c r="GW30" i="9"/>
  <c r="BB28" i="9"/>
  <c r="BA29" i="9"/>
  <c r="FM29" i="9"/>
  <c r="FN28" i="9"/>
  <c r="AX28" i="9"/>
  <c r="AW29" i="9"/>
  <c r="JY29" i="9"/>
  <c r="JZ28" i="9"/>
  <c r="JB27" i="9"/>
  <c r="JA28" i="9"/>
  <c r="HQ30" i="9"/>
  <c r="HR29" i="9"/>
  <c r="FQ30" i="9"/>
  <c r="FR29" i="9"/>
  <c r="CW28" i="9"/>
  <c r="CX27" i="9"/>
  <c r="AH28" i="9"/>
  <c r="AG29" i="9"/>
  <c r="AI26" i="5"/>
  <c r="AH27" i="5"/>
  <c r="AN41" i="5"/>
  <c r="A41" i="5" s="1"/>
  <c r="AM42" i="5"/>
  <c r="AK29" i="9"/>
  <c r="AL28" i="9"/>
  <c r="N30" i="5"/>
  <c r="O29" i="5"/>
  <c r="KL31" i="9"/>
  <c r="KK32" i="9"/>
  <c r="Y27" i="5"/>
  <c r="X28" i="5"/>
  <c r="DZ27" i="9"/>
  <c r="DY28" i="9"/>
  <c r="I33" i="5"/>
  <c r="J32" i="5"/>
  <c r="FY33" i="9"/>
  <c r="FZ32" i="9"/>
  <c r="EO29" i="9"/>
  <c r="EP28" i="9"/>
  <c r="DB30" i="9"/>
  <c r="DA31" i="9"/>
  <c r="DU30" i="9"/>
  <c r="DV29" i="9"/>
  <c r="AW28" i="5"/>
  <c r="AX27" i="5"/>
  <c r="GL27" i="9"/>
  <c r="GK28" i="9"/>
  <c r="GL28" i="9" s="1"/>
  <c r="FB27" i="9"/>
  <c r="FA28" i="9"/>
  <c r="AD33" i="5"/>
  <c r="AC34" i="5"/>
  <c r="AR35" i="5"/>
  <c r="AS34" i="5"/>
  <c r="LM43" i="9" l="1"/>
  <c r="LN43" i="9" s="1"/>
  <c r="LJ39" i="9"/>
  <c r="LI40" i="9"/>
  <c r="IG30" i="9"/>
  <c r="IH29" i="9"/>
  <c r="FF28" i="9"/>
  <c r="FE29" i="9"/>
  <c r="BZ29" i="9"/>
  <c r="BY30" i="9"/>
  <c r="JN31" i="9"/>
  <c r="JM32" i="9"/>
  <c r="CC28" i="9"/>
  <c r="CD27" i="9"/>
  <c r="KP30" i="9"/>
  <c r="KO31" i="9"/>
  <c r="ES29" i="9"/>
  <c r="ET28" i="9"/>
  <c r="AS28" i="9"/>
  <c r="AT27" i="9"/>
  <c r="CO30" i="9"/>
  <c r="CP29" i="9"/>
  <c r="LA34" i="9"/>
  <c r="LB34" i="9" s="1"/>
  <c r="BB32" i="5"/>
  <c r="BC32" i="5" s="1"/>
  <c r="FB28" i="9"/>
  <c r="FA29" i="9"/>
  <c r="X29" i="5"/>
  <c r="Y28" i="5"/>
  <c r="AI27" i="5"/>
  <c r="AH28" i="5"/>
  <c r="JF27" i="9"/>
  <c r="JE28" i="9"/>
  <c r="AP29" i="9"/>
  <c r="AO30" i="9"/>
  <c r="IK29" i="9"/>
  <c r="IL28" i="9"/>
  <c r="CK31" i="9"/>
  <c r="CL30" i="9"/>
  <c r="AR36" i="5"/>
  <c r="AS35" i="5"/>
  <c r="AX28" i="5"/>
  <c r="AW29" i="5"/>
  <c r="EO30" i="9"/>
  <c r="EP29" i="9"/>
  <c r="I34" i="5"/>
  <c r="J33" i="5"/>
  <c r="N31" i="5"/>
  <c r="O30" i="5"/>
  <c r="CW29" i="9"/>
  <c r="CX28" i="9"/>
  <c r="HQ31" i="9"/>
  <c r="HR30" i="9"/>
  <c r="JY30" i="9"/>
  <c r="JZ29" i="9"/>
  <c r="FM30" i="9"/>
  <c r="FN29" i="9"/>
  <c r="ED30" i="9"/>
  <c r="EC31" i="9"/>
  <c r="IT33" i="9"/>
  <c r="IS34" i="9"/>
  <c r="JR28" i="9"/>
  <c r="JQ29" i="9"/>
  <c r="S28" i="5"/>
  <c r="T27" i="5"/>
  <c r="EH30" i="9"/>
  <c r="EG31" i="9"/>
  <c r="KX27" i="9"/>
  <c r="KW28" i="9"/>
  <c r="GS30" i="9"/>
  <c r="GT29" i="9"/>
  <c r="DE29" i="9"/>
  <c r="DF28" i="9"/>
  <c r="AM43" i="5"/>
  <c r="AN42" i="5"/>
  <c r="A42" i="5" s="1"/>
  <c r="GX30" i="9"/>
  <c r="GW31" i="9"/>
  <c r="BR30" i="9"/>
  <c r="BQ31" i="9"/>
  <c r="AC35" i="5"/>
  <c r="AD34" i="5"/>
  <c r="DY29" i="9"/>
  <c r="DZ28" i="9"/>
  <c r="KK33" i="9"/>
  <c r="KL32" i="9"/>
  <c r="AH29" i="9"/>
  <c r="AG30" i="9"/>
  <c r="JB28" i="9"/>
  <c r="JA29" i="9"/>
  <c r="AW30" i="9"/>
  <c r="AX29" i="9"/>
  <c r="BB29" i="9"/>
  <c r="BA30" i="9"/>
  <c r="FJ31" i="9"/>
  <c r="FI32" i="9"/>
  <c r="FV29" i="9"/>
  <c r="FU30" i="9"/>
  <c r="IP28" i="9"/>
  <c r="IO29" i="9"/>
  <c r="BV29" i="9"/>
  <c r="BU30" i="9"/>
  <c r="IX28" i="9"/>
  <c r="IW29" i="9"/>
  <c r="HE31" i="9"/>
  <c r="HF30" i="9"/>
  <c r="GD29" i="9"/>
  <c r="GC30" i="9"/>
  <c r="KT27" i="9"/>
  <c r="KS28" i="9"/>
  <c r="GH29" i="9"/>
  <c r="GG30" i="9"/>
  <c r="DB31" i="9"/>
  <c r="DA32" i="9"/>
  <c r="GP29" i="9"/>
  <c r="GO30" i="9"/>
  <c r="BF29" i="9"/>
  <c r="BE30" i="9"/>
  <c r="DV30" i="9"/>
  <c r="DU31" i="9"/>
  <c r="FZ33" i="9"/>
  <c r="FY34" i="9"/>
  <c r="AL29" i="9"/>
  <c r="AK30" i="9"/>
  <c r="T28" i="9"/>
  <c r="A277" i="9"/>
  <c r="FQ31" i="9"/>
  <c r="FR30" i="9"/>
  <c r="BM30" i="9"/>
  <c r="BN29" i="9"/>
  <c r="CH45" i="9"/>
  <c r="CG46" i="9"/>
  <c r="HA31" i="9"/>
  <c r="HB30" i="9"/>
  <c r="JU45" i="9"/>
  <c r="JV44" i="9"/>
  <c r="D29" i="5"/>
  <c r="E28" i="5"/>
  <c r="N29" i="9"/>
  <c r="O28" i="9"/>
  <c r="A28" i="9" s="1"/>
  <c r="LM44" i="9" l="1"/>
  <c r="LN44" i="9" s="1"/>
  <c r="LJ40" i="9"/>
  <c r="LI41" i="9"/>
  <c r="IG31" i="9"/>
  <c r="IH30" i="9"/>
  <c r="CO31" i="9"/>
  <c r="CP31" i="9" s="1"/>
  <c r="CP30" i="9"/>
  <c r="ET29" i="9"/>
  <c r="ES30" i="9"/>
  <c r="CC29" i="9"/>
  <c r="CD28" i="9"/>
  <c r="KO32" i="9"/>
  <c r="KP32" i="9" s="1"/>
  <c r="KP31" i="9"/>
  <c r="JN32" i="9"/>
  <c r="JM33" i="9"/>
  <c r="FE30" i="9"/>
  <c r="FF29" i="9"/>
  <c r="AS29" i="9"/>
  <c r="AT28" i="9"/>
  <c r="BY31" i="9"/>
  <c r="BZ30" i="9"/>
  <c r="LA35" i="9"/>
  <c r="LB35" i="9" s="1"/>
  <c r="BB33" i="5"/>
  <c r="BC33" i="5" s="1"/>
  <c r="KS29" i="9"/>
  <c r="KT28" i="9"/>
  <c r="KX28" i="9"/>
  <c r="KW29" i="9"/>
  <c r="IT34" i="9"/>
  <c r="IS35" i="9"/>
  <c r="JF28" i="9"/>
  <c r="JE29" i="9"/>
  <c r="N30" i="9"/>
  <c r="O29" i="9"/>
  <c r="A29" i="9" s="1"/>
  <c r="JU46" i="9"/>
  <c r="JV45" i="9"/>
  <c r="A473" i="9" s="1"/>
  <c r="FR31" i="9"/>
  <c r="FQ32" i="9"/>
  <c r="AW31" i="9"/>
  <c r="AX30" i="9"/>
  <c r="A278" i="9"/>
  <c r="T29" i="9"/>
  <c r="KL33" i="9"/>
  <c r="KK34" i="9"/>
  <c r="AC36" i="5"/>
  <c r="AD35" i="5"/>
  <c r="DE30" i="9"/>
  <c r="DF29" i="9"/>
  <c r="S29" i="5"/>
  <c r="T28" i="5"/>
  <c r="FN30" i="9"/>
  <c r="FM31" i="9"/>
  <c r="HQ32" i="9"/>
  <c r="HR31" i="9"/>
  <c r="N32" i="5"/>
  <c r="O31" i="5"/>
  <c r="EO31" i="9"/>
  <c r="EP30" i="9"/>
  <c r="AR37" i="5"/>
  <c r="AS36" i="5"/>
  <c r="IL29" i="9"/>
  <c r="IK30" i="9"/>
  <c r="Y29" i="5"/>
  <c r="X30" i="5"/>
  <c r="CH46" i="9"/>
  <c r="CG47" i="9"/>
  <c r="GG31" i="9"/>
  <c r="GH30" i="9"/>
  <c r="IX29" i="9"/>
  <c r="IW30" i="9"/>
  <c r="FJ32" i="9"/>
  <c r="FI33" i="9"/>
  <c r="GX31" i="9"/>
  <c r="GW32" i="9"/>
  <c r="FZ34" i="9"/>
  <c r="FY35" i="9"/>
  <c r="BF30" i="9"/>
  <c r="BE31" i="9"/>
  <c r="DB32" i="9"/>
  <c r="DA33" i="9"/>
  <c r="GD30" i="9"/>
  <c r="GC31" i="9"/>
  <c r="BU31" i="9"/>
  <c r="BV30" i="9"/>
  <c r="FV30" i="9"/>
  <c r="FU31" i="9"/>
  <c r="BA31" i="9"/>
  <c r="BB30" i="9"/>
  <c r="JA30" i="9"/>
  <c r="JB29" i="9"/>
  <c r="BQ32" i="9"/>
  <c r="BR31" i="9"/>
  <c r="EG32" i="9"/>
  <c r="EH31" i="9"/>
  <c r="JR29" i="9"/>
  <c r="JQ30" i="9"/>
  <c r="ED31" i="9"/>
  <c r="EC32" i="9"/>
  <c r="AX29" i="5"/>
  <c r="AW30" i="5"/>
  <c r="AO31" i="9"/>
  <c r="AP30" i="9"/>
  <c r="AI28" i="5"/>
  <c r="AH29" i="5"/>
  <c r="FB29" i="9"/>
  <c r="FA30" i="9"/>
  <c r="AK31" i="9"/>
  <c r="AL30" i="9"/>
  <c r="GP30" i="9"/>
  <c r="GO31" i="9"/>
  <c r="IP29" i="9"/>
  <c r="IO30" i="9"/>
  <c r="AH30" i="9"/>
  <c r="AG31" i="9"/>
  <c r="DV31" i="9"/>
  <c r="DU32" i="9"/>
  <c r="D30" i="5"/>
  <c r="E29" i="5"/>
  <c r="HA32" i="9"/>
  <c r="HB31" i="9"/>
  <c r="BM31" i="9"/>
  <c r="BN30" i="9"/>
  <c r="HF31" i="9"/>
  <c r="HE32" i="9"/>
  <c r="DZ29" i="9"/>
  <c r="DY30" i="9"/>
  <c r="AM44" i="5"/>
  <c r="AN43" i="5"/>
  <c r="A43" i="5" s="1"/>
  <c r="GS31" i="9"/>
  <c r="GT30" i="9"/>
  <c r="JZ30" i="9"/>
  <c r="JY31" i="9"/>
  <c r="CW30" i="9"/>
  <c r="CX29" i="9"/>
  <c r="I35" i="5"/>
  <c r="J34" i="5"/>
  <c r="CK32" i="9"/>
  <c r="CL31" i="9"/>
  <c r="LM45" i="9" l="1"/>
  <c r="LN45" i="9" s="1"/>
  <c r="LJ41" i="9"/>
  <c r="LI42" i="9"/>
  <c r="IH31" i="9"/>
  <c r="IG32" i="9"/>
  <c r="ET30" i="9"/>
  <c r="ES31" i="9"/>
  <c r="BZ31" i="9"/>
  <c r="BY32" i="9"/>
  <c r="FF30" i="9"/>
  <c r="FE31" i="9"/>
  <c r="JN33" i="9"/>
  <c r="JM34" i="9"/>
  <c r="AS30" i="9"/>
  <c r="AT29" i="9"/>
  <c r="CC30" i="9"/>
  <c r="CD29" i="9"/>
  <c r="LA36" i="9"/>
  <c r="LB36" i="9" s="1"/>
  <c r="BB34" i="5"/>
  <c r="BC34" i="5" s="1"/>
  <c r="JF29" i="9"/>
  <c r="JE30" i="9"/>
  <c r="IO31" i="9"/>
  <c r="IP30" i="9"/>
  <c r="JU47" i="9"/>
  <c r="JV46" i="9"/>
  <c r="A474" i="9" s="1"/>
  <c r="CX30" i="9"/>
  <c r="CW31" i="9"/>
  <c r="BM32" i="9"/>
  <c r="BN31" i="9"/>
  <c r="A279" i="9"/>
  <c r="T30" i="9"/>
  <c r="AO32" i="9"/>
  <c r="AP31" i="9"/>
  <c r="EG33" i="9"/>
  <c r="EH32" i="9"/>
  <c r="JA31" i="9"/>
  <c r="JB30" i="9"/>
  <c r="BF31" i="9"/>
  <c r="BE32" i="9"/>
  <c r="GX32" i="9"/>
  <c r="GW33" i="9"/>
  <c r="IW31" i="9"/>
  <c r="IX30" i="9"/>
  <c r="CH47" i="9"/>
  <c r="CG48" i="9"/>
  <c r="IL30" i="9"/>
  <c r="IK31" i="9"/>
  <c r="KW30" i="9"/>
  <c r="KX29" i="9"/>
  <c r="JY32" i="9"/>
  <c r="JZ31" i="9"/>
  <c r="EO32" i="9"/>
  <c r="EP31" i="9"/>
  <c r="AC37" i="5"/>
  <c r="AD36" i="5"/>
  <c r="I36" i="5"/>
  <c r="J35" i="5"/>
  <c r="AN44" i="5"/>
  <c r="A44" i="5" s="1"/>
  <c r="AM45" i="5"/>
  <c r="HA33" i="9"/>
  <c r="HB32" i="9"/>
  <c r="AK32" i="9"/>
  <c r="AL31" i="9"/>
  <c r="BQ33" i="9"/>
  <c r="BR32" i="9"/>
  <c r="BA32" i="9"/>
  <c r="BB31" i="9"/>
  <c r="BV31" i="9"/>
  <c r="BU32" i="9"/>
  <c r="DB33" i="9"/>
  <c r="DA34" i="9"/>
  <c r="FY36" i="9"/>
  <c r="FZ35" i="9"/>
  <c r="FJ33" i="9"/>
  <c r="FI34" i="9"/>
  <c r="Y30" i="5"/>
  <c r="X31" i="5"/>
  <c r="FN31" i="9"/>
  <c r="FM32" i="9"/>
  <c r="KK35" i="9"/>
  <c r="KL34" i="9"/>
  <c r="FR32" i="9"/>
  <c r="FQ33" i="9"/>
  <c r="IS36" i="9"/>
  <c r="IT35" i="9"/>
  <c r="CL32" i="9"/>
  <c r="CK33" i="9"/>
  <c r="GS32" i="9"/>
  <c r="GT31" i="9"/>
  <c r="E30" i="5"/>
  <c r="D31" i="5"/>
  <c r="DV32" i="9"/>
  <c r="DU33" i="9"/>
  <c r="AI29" i="5"/>
  <c r="AH30" i="5"/>
  <c r="AX30" i="5"/>
  <c r="AW31" i="5"/>
  <c r="JQ31" i="9"/>
  <c r="JR30" i="9"/>
  <c r="HR32" i="9"/>
  <c r="HQ33" i="9"/>
  <c r="S30" i="5"/>
  <c r="T29" i="5"/>
  <c r="DY31" i="9"/>
  <c r="DZ30" i="9"/>
  <c r="HF32" i="9"/>
  <c r="HE33" i="9"/>
  <c r="AG32" i="9"/>
  <c r="AH31" i="9"/>
  <c r="GO32" i="9"/>
  <c r="GP31" i="9"/>
  <c r="FA31" i="9"/>
  <c r="FB30" i="9"/>
  <c r="ED32" i="9"/>
  <c r="EC33" i="9"/>
  <c r="FU32" i="9"/>
  <c r="FV31" i="9"/>
  <c r="GD31" i="9"/>
  <c r="GC32" i="9"/>
  <c r="GH31" i="9"/>
  <c r="GG32" i="9"/>
  <c r="AR38" i="5"/>
  <c r="AS37" i="5"/>
  <c r="O32" i="5"/>
  <c r="N33" i="5"/>
  <c r="DF30" i="9"/>
  <c r="DE31" i="9"/>
  <c r="AX31" i="9"/>
  <c r="AW32" i="9"/>
  <c r="N31" i="9"/>
  <c r="O30" i="9"/>
  <c r="A30" i="9" s="1"/>
  <c r="KT29" i="9"/>
  <c r="KS30" i="9"/>
  <c r="LM46" i="9" l="1"/>
  <c r="LN46" i="9" s="1"/>
  <c r="LJ42" i="9"/>
  <c r="LI43" i="9"/>
  <c r="IH32" i="9"/>
  <c r="IG33" i="9"/>
  <c r="AS31" i="9"/>
  <c r="AT30" i="9"/>
  <c r="FE32" i="9"/>
  <c r="FF31" i="9"/>
  <c r="JN34" i="9"/>
  <c r="JM35" i="9"/>
  <c r="ET31" i="9"/>
  <c r="ES32" i="9"/>
  <c r="CC31" i="9"/>
  <c r="CD30" i="9"/>
  <c r="BZ32" i="9"/>
  <c r="BY33" i="9"/>
  <c r="LA37" i="9"/>
  <c r="LB37" i="9" s="1"/>
  <c r="BB35" i="5"/>
  <c r="BC35" i="5" s="1"/>
  <c r="FB31" i="9"/>
  <c r="FA32" i="9"/>
  <c r="DY32" i="9"/>
  <c r="DZ31" i="9"/>
  <c r="AD37" i="5"/>
  <c r="AC38" i="5"/>
  <c r="JY33" i="9"/>
  <c r="JZ32" i="9"/>
  <c r="IW32" i="9"/>
  <c r="IX31" i="9"/>
  <c r="EG34" i="9"/>
  <c r="EH33" i="9"/>
  <c r="IP31" i="9"/>
  <c r="IO32" i="9"/>
  <c r="DF31" i="9"/>
  <c r="DE32" i="9"/>
  <c r="GD32" i="9"/>
  <c r="GC33" i="9"/>
  <c r="HE34" i="9"/>
  <c r="HF33" i="9"/>
  <c r="AI30" i="5"/>
  <c r="AH31" i="5"/>
  <c r="Y31" i="5"/>
  <c r="X32" i="5"/>
  <c r="BV32" i="9"/>
  <c r="BU33" i="9"/>
  <c r="CH48" i="9"/>
  <c r="CG49" i="9"/>
  <c r="GX33" i="9"/>
  <c r="GW34" i="9"/>
  <c r="AS38" i="5"/>
  <c r="AR39" i="5"/>
  <c r="GP32" i="9"/>
  <c r="GO33" i="9"/>
  <c r="S31" i="5"/>
  <c r="T30" i="5"/>
  <c r="JQ32" i="9"/>
  <c r="JR31" i="9"/>
  <c r="GS33" i="9"/>
  <c r="GT32" i="9"/>
  <c r="IS37" i="9"/>
  <c r="IT36" i="9"/>
  <c r="KK36" i="9"/>
  <c r="KL35" i="9"/>
  <c r="FY37" i="9"/>
  <c r="FZ37" i="9" s="1"/>
  <c r="FZ36" i="9"/>
  <c r="BR33" i="9"/>
  <c r="BQ34" i="9"/>
  <c r="HA34" i="9"/>
  <c r="HB33" i="9"/>
  <c r="I37" i="5"/>
  <c r="J36" i="5"/>
  <c r="EO33" i="9"/>
  <c r="EP32" i="9"/>
  <c r="KW31" i="9"/>
  <c r="KX30" i="9"/>
  <c r="JA32" i="9"/>
  <c r="JB31" i="9"/>
  <c r="AP32" i="9"/>
  <c r="AO33" i="9"/>
  <c r="BN32" i="9"/>
  <c r="BM33" i="9"/>
  <c r="JV47" i="9"/>
  <c r="A475" i="9" s="1"/>
  <c r="JU48" i="9"/>
  <c r="JE31" i="9"/>
  <c r="JF30" i="9"/>
  <c r="N32" i="9"/>
  <c r="O31" i="9"/>
  <c r="A31" i="9" s="1"/>
  <c r="FU33" i="9"/>
  <c r="FV32" i="9"/>
  <c r="AH32" i="9"/>
  <c r="AG33" i="9"/>
  <c r="BB32" i="9"/>
  <c r="BA33" i="9"/>
  <c r="AL32" i="9"/>
  <c r="AK33" i="9"/>
  <c r="KS31" i="9"/>
  <c r="KT30" i="9"/>
  <c r="ED33" i="9"/>
  <c r="EC34" i="9"/>
  <c r="AW33" i="9"/>
  <c r="AX32" i="9"/>
  <c r="O33" i="5"/>
  <c r="N34" i="5"/>
  <c r="GH32" i="9"/>
  <c r="GG33" i="9"/>
  <c r="T31" i="9"/>
  <c r="A280" i="9"/>
  <c r="HR33" i="9"/>
  <c r="HQ34" i="9"/>
  <c r="AW32" i="5"/>
  <c r="AX31" i="5"/>
  <c r="DV33" i="9"/>
  <c r="DU34" i="9"/>
  <c r="E31" i="5"/>
  <c r="D32" i="5"/>
  <c r="CL33" i="9"/>
  <c r="CK34" i="9"/>
  <c r="FQ34" i="9"/>
  <c r="FR33" i="9"/>
  <c r="FM33" i="9"/>
  <c r="FN32" i="9"/>
  <c r="FI35" i="9"/>
  <c r="FJ34" i="9"/>
  <c r="DB34" i="9"/>
  <c r="DA35" i="9"/>
  <c r="AM46" i="5"/>
  <c r="AN45" i="5"/>
  <c r="A45" i="5" s="1"/>
  <c r="IL31" i="9"/>
  <c r="IK32" i="9"/>
  <c r="BF32" i="9"/>
  <c r="BE33" i="9"/>
  <c r="CW32" i="9"/>
  <c r="CX31" i="9"/>
  <c r="LM47" i="9" l="1"/>
  <c r="LJ43" i="9"/>
  <c r="LI44" i="9"/>
  <c r="IG34" i="9"/>
  <c r="IH33" i="9"/>
  <c r="A422" i="9" s="1"/>
  <c r="FE33" i="9"/>
  <c r="FF32" i="9"/>
  <c r="JM36" i="9"/>
  <c r="JN35" i="9"/>
  <c r="CD31" i="9"/>
  <c r="CC32" i="9"/>
  <c r="AS32" i="9"/>
  <c r="AT31" i="9"/>
  <c r="BZ33" i="9"/>
  <c r="BY34" i="9"/>
  <c r="BZ34" i="9" s="1"/>
  <c r="ET32" i="9"/>
  <c r="ES33" i="9"/>
  <c r="LA38" i="9"/>
  <c r="LB38" i="9" s="1"/>
  <c r="BB36" i="5"/>
  <c r="BC36" i="5" s="1"/>
  <c r="EH34" i="9"/>
  <c r="EG35" i="9"/>
  <c r="JY34" i="9"/>
  <c r="JZ33" i="9"/>
  <c r="CX32" i="9"/>
  <c r="CW33" i="9"/>
  <c r="FI36" i="9"/>
  <c r="FJ35" i="9"/>
  <c r="FQ35" i="9"/>
  <c r="FR34" i="9"/>
  <c r="AX32" i="5"/>
  <c r="AW33" i="5"/>
  <c r="KT31" i="9"/>
  <c r="A500" i="9" s="1"/>
  <c r="KS32" i="9"/>
  <c r="BB33" i="9"/>
  <c r="BA34" i="9"/>
  <c r="BN33" i="9"/>
  <c r="BM34" i="9"/>
  <c r="GP33" i="9"/>
  <c r="GO34" i="9"/>
  <c r="GX34" i="9"/>
  <c r="GW35" i="9"/>
  <c r="BU34" i="9"/>
  <c r="BV34" i="9" s="1"/>
  <c r="BV33" i="9"/>
  <c r="DF32" i="9"/>
  <c r="DE33" i="9"/>
  <c r="IO33" i="9"/>
  <c r="IP32" i="9"/>
  <c r="AD38" i="5"/>
  <c r="AC39" i="5"/>
  <c r="DY33" i="9"/>
  <c r="DZ32" i="9"/>
  <c r="IT37" i="9"/>
  <c r="IS38" i="9"/>
  <c r="IT38" i="9" s="1"/>
  <c r="JR32" i="9"/>
  <c r="JQ33" i="9"/>
  <c r="HF34" i="9"/>
  <c r="HE35" i="9"/>
  <c r="IX32" i="9"/>
  <c r="IW33" i="9"/>
  <c r="FB32" i="9"/>
  <c r="FA33" i="9"/>
  <c r="IL32" i="9"/>
  <c r="IK33" i="9"/>
  <c r="D33" i="5"/>
  <c r="E32" i="5"/>
  <c r="N35" i="5"/>
  <c r="O34" i="5"/>
  <c r="A281" i="9"/>
  <c r="T32" i="9"/>
  <c r="N33" i="9"/>
  <c r="O32" i="9"/>
  <c r="A32" i="9" s="1"/>
  <c r="KX31" i="9"/>
  <c r="KW32" i="9"/>
  <c r="I38" i="5"/>
  <c r="J37" i="5"/>
  <c r="KK37" i="9"/>
  <c r="KL36" i="9"/>
  <c r="GT33" i="9"/>
  <c r="GS34" i="9"/>
  <c r="S32" i="5"/>
  <c r="T31" i="5"/>
  <c r="BF33" i="9"/>
  <c r="BE34" i="9"/>
  <c r="DA36" i="9"/>
  <c r="DB36" i="9" s="1"/>
  <c r="DB35" i="9"/>
  <c r="CK35" i="9"/>
  <c r="CL34" i="9"/>
  <c r="DV34" i="9"/>
  <c r="DU35" i="9"/>
  <c r="HQ35" i="9"/>
  <c r="HR34" i="9"/>
  <c r="GG34" i="9"/>
  <c r="GH33" i="9"/>
  <c r="EC35" i="9"/>
  <c r="ED34" i="9"/>
  <c r="FV33" i="9"/>
  <c r="FU34" i="9"/>
  <c r="JF31" i="9"/>
  <c r="JE32" i="9"/>
  <c r="JB32" i="9"/>
  <c r="JA33" i="9"/>
  <c r="EO34" i="9"/>
  <c r="EP33" i="9"/>
  <c r="HB34" i="9"/>
  <c r="HA35" i="9"/>
  <c r="AM47" i="5"/>
  <c r="AN46" i="5"/>
  <c r="A46" i="5" s="1"/>
  <c r="FM34" i="9"/>
  <c r="FN33" i="9"/>
  <c r="AW34" i="9"/>
  <c r="AX33" i="9"/>
  <c r="AK34" i="9"/>
  <c r="AL33" i="9"/>
  <c r="AG34" i="9"/>
  <c r="AH33" i="9"/>
  <c r="JU49" i="9"/>
  <c r="JV48" i="9"/>
  <c r="A476" i="9" s="1"/>
  <c r="AO34" i="9"/>
  <c r="AP33" i="9"/>
  <c r="BQ35" i="9"/>
  <c r="BR34" i="9"/>
  <c r="AR40" i="5"/>
  <c r="AS39" i="5"/>
  <c r="CG50" i="9"/>
  <c r="CH50" i="9" s="1"/>
  <c r="CH49" i="9"/>
  <c r="X33" i="5"/>
  <c r="Y32" i="5"/>
  <c r="AI31" i="5"/>
  <c r="AH32" i="5"/>
  <c r="GD33" i="9"/>
  <c r="GC34" i="9"/>
  <c r="LM48" i="9" l="1"/>
  <c r="LN47" i="9"/>
  <c r="LJ44" i="9"/>
  <c r="LI45" i="9"/>
  <c r="IH34" i="9"/>
  <c r="A423" i="9" s="1"/>
  <c r="IG35" i="9"/>
  <c r="ET33" i="9"/>
  <c r="ES34" i="9"/>
  <c r="AS33" i="9"/>
  <c r="AT32" i="9"/>
  <c r="JN36" i="9"/>
  <c r="JM37" i="9"/>
  <c r="JN37" i="9" s="1"/>
  <c r="CD32" i="9"/>
  <c r="CC33" i="9"/>
  <c r="FF33" i="9"/>
  <c r="FE34" i="9"/>
  <c r="LA39" i="9"/>
  <c r="LB39" i="9" s="1"/>
  <c r="BB37" i="5"/>
  <c r="BC37" i="5" s="1"/>
  <c r="AI32" i="5"/>
  <c r="AH33" i="5"/>
  <c r="BQ36" i="9"/>
  <c r="BR35" i="9"/>
  <c r="AK35" i="9"/>
  <c r="AL34" i="9"/>
  <c r="FN34" i="9"/>
  <c r="FM35" i="9"/>
  <c r="EP34" i="9"/>
  <c r="EO35" i="9"/>
  <c r="ED35" i="9"/>
  <c r="EC36" i="9"/>
  <c r="ED36" i="9" s="1"/>
  <c r="CK36" i="9"/>
  <c r="CL35" i="9"/>
  <c r="GS35" i="9"/>
  <c r="GT34" i="9"/>
  <c r="IL33" i="9"/>
  <c r="IK34" i="9"/>
  <c r="JR33" i="9"/>
  <c r="JQ34" i="9"/>
  <c r="GP34" i="9"/>
  <c r="GO35" i="9"/>
  <c r="AX33" i="5"/>
  <c r="AW34" i="5"/>
  <c r="GC35" i="9"/>
  <c r="GD34" i="9"/>
  <c r="A282" i="9"/>
  <c r="T33" i="9"/>
  <c r="HA36" i="9"/>
  <c r="HB35" i="9"/>
  <c r="JA34" i="9"/>
  <c r="JB33" i="9"/>
  <c r="FU35" i="9"/>
  <c r="FV34" i="9"/>
  <c r="DU36" i="9"/>
  <c r="DV35" i="9"/>
  <c r="I39" i="5"/>
  <c r="J38" i="5"/>
  <c r="O33" i="9"/>
  <c r="A33" i="9" s="1"/>
  <c r="N34" i="9"/>
  <c r="E33" i="5"/>
  <c r="D34" i="5"/>
  <c r="DY34" i="9"/>
  <c r="DZ33" i="9"/>
  <c r="IP33" i="9"/>
  <c r="IO34" i="9"/>
  <c r="FJ36" i="9"/>
  <c r="FI37" i="9"/>
  <c r="JV49" i="9"/>
  <c r="A477" i="9" s="1"/>
  <c r="JU50" i="9"/>
  <c r="HR35" i="9"/>
  <c r="HQ36" i="9"/>
  <c r="BF34" i="9"/>
  <c r="BE35" i="9"/>
  <c r="IW34" i="9"/>
  <c r="IX33" i="9"/>
  <c r="BB34" i="9"/>
  <c r="BA35" i="9"/>
  <c r="BB35" i="9" s="1"/>
  <c r="Y33" i="5"/>
  <c r="X34" i="5"/>
  <c r="AS40" i="5"/>
  <c r="AR41" i="5"/>
  <c r="AP34" i="9"/>
  <c r="AO35" i="9"/>
  <c r="AG35" i="9"/>
  <c r="AH34" i="9"/>
  <c r="AW35" i="9"/>
  <c r="AX34" i="9"/>
  <c r="AM48" i="5"/>
  <c r="AN47" i="5"/>
  <c r="A47" i="5" s="1"/>
  <c r="GG35" i="9"/>
  <c r="GH34" i="9"/>
  <c r="KX32" i="9"/>
  <c r="KW33" i="9"/>
  <c r="FB33" i="9"/>
  <c r="FA34" i="9"/>
  <c r="HE36" i="9"/>
  <c r="HF35" i="9"/>
  <c r="AD39" i="5"/>
  <c r="AC40" i="5"/>
  <c r="DF33" i="9"/>
  <c r="DE34" i="9"/>
  <c r="GX35" i="9"/>
  <c r="GW36" i="9"/>
  <c r="BN34" i="9"/>
  <c r="BM35" i="9"/>
  <c r="KS33" i="9"/>
  <c r="KT32" i="9"/>
  <c r="A501" i="9" s="1"/>
  <c r="JZ34" i="9"/>
  <c r="JY35" i="9"/>
  <c r="JE33" i="9"/>
  <c r="JF32" i="9"/>
  <c r="S33" i="5"/>
  <c r="T32" i="5"/>
  <c r="KK38" i="9"/>
  <c r="KL37" i="9"/>
  <c r="N36" i="5"/>
  <c r="O35" i="5"/>
  <c r="FR35" i="9"/>
  <c r="FQ36" i="9"/>
  <c r="CW34" i="9"/>
  <c r="CX33" i="9"/>
  <c r="EH35" i="9"/>
  <c r="EG36" i="9"/>
  <c r="LM49" i="9" l="1"/>
  <c r="LN48" i="9"/>
  <c r="LJ45" i="9"/>
  <c r="LI46" i="9"/>
  <c r="IH35" i="9"/>
  <c r="A424" i="9" s="1"/>
  <c r="IG36" i="9"/>
  <c r="AS34" i="9"/>
  <c r="AT33" i="9"/>
  <c r="FF34" i="9"/>
  <c r="FE35" i="9"/>
  <c r="ET34" i="9"/>
  <c r="ES35" i="9"/>
  <c r="CD33" i="9"/>
  <c r="CC34" i="9"/>
  <c r="LA40" i="9"/>
  <c r="LB40" i="9" s="1"/>
  <c r="BB38" i="5"/>
  <c r="BC38" i="5" s="1"/>
  <c r="AD40" i="5"/>
  <c r="AC41" i="5"/>
  <c r="FA35" i="9"/>
  <c r="FB34" i="9"/>
  <c r="KW34" i="9"/>
  <c r="KX33" i="9"/>
  <c r="A283" i="9"/>
  <c r="T34" i="9"/>
  <c r="AR42" i="5"/>
  <c r="AS41" i="5"/>
  <c r="BE36" i="9"/>
  <c r="BF35" i="9"/>
  <c r="IP34" i="9"/>
  <c r="IO35" i="9"/>
  <c r="GO36" i="9"/>
  <c r="GP35" i="9"/>
  <c r="FN35" i="9"/>
  <c r="FM36" i="9"/>
  <c r="J39" i="5"/>
  <c r="I40" i="5"/>
  <c r="FU36" i="9"/>
  <c r="FV35" i="9"/>
  <c r="HB36" i="9"/>
  <c r="HA37" i="9"/>
  <c r="GC36" i="9"/>
  <c r="GD35" i="9"/>
  <c r="GT35" i="9"/>
  <c r="GS36" i="9"/>
  <c r="BQ37" i="9"/>
  <c r="BR36" i="9"/>
  <c r="CX34" i="9"/>
  <c r="CW35" i="9"/>
  <c r="JY36" i="9"/>
  <c r="JZ35" i="9"/>
  <c r="BM36" i="9"/>
  <c r="BN35" i="9"/>
  <c r="DF34" i="9"/>
  <c r="DE35" i="9"/>
  <c r="AO36" i="9"/>
  <c r="AP35" i="9"/>
  <c r="X35" i="5"/>
  <c r="Y34" i="5"/>
  <c r="HR36" i="9"/>
  <c r="HQ37" i="9"/>
  <c r="FJ37" i="9"/>
  <c r="FI38" i="9"/>
  <c r="N35" i="9"/>
  <c r="O34" i="9"/>
  <c r="A34" i="9" s="1"/>
  <c r="AX34" i="5"/>
  <c r="AW35" i="5"/>
  <c r="JR34" i="9"/>
  <c r="JQ35" i="9"/>
  <c r="EP35" i="9"/>
  <c r="EO36" i="9"/>
  <c r="AH34" i="5"/>
  <c r="AI33" i="5"/>
  <c r="GX36" i="9"/>
  <c r="GW37" i="9"/>
  <c r="JU51" i="9"/>
  <c r="JV50" i="9"/>
  <c r="A478" i="9" s="1"/>
  <c r="E34" i="5"/>
  <c r="D35" i="5"/>
  <c r="IL34" i="9"/>
  <c r="IK35" i="9"/>
  <c r="KK39" i="9"/>
  <c r="KL38" i="9"/>
  <c r="JE34" i="9"/>
  <c r="JF33" i="9"/>
  <c r="KS34" i="9"/>
  <c r="KT33" i="9"/>
  <c r="A502" i="9" s="1"/>
  <c r="AM49" i="5"/>
  <c r="AN48" i="5"/>
  <c r="A48" i="5" s="1"/>
  <c r="AH35" i="9"/>
  <c r="AG36" i="9"/>
  <c r="EG37" i="9"/>
  <c r="EH36" i="9"/>
  <c r="FR36" i="9"/>
  <c r="FQ37" i="9"/>
  <c r="O36" i="5"/>
  <c r="N37" i="5"/>
  <c r="S34" i="5"/>
  <c r="T33" i="5"/>
  <c r="HF36" i="9"/>
  <c r="HE37" i="9"/>
  <c r="GG36" i="9"/>
  <c r="GH35" i="9"/>
  <c r="AW36" i="9"/>
  <c r="AX35" i="9"/>
  <c r="IW35" i="9"/>
  <c r="IX34" i="9"/>
  <c r="DZ34" i="9"/>
  <c r="DY35" i="9"/>
  <c r="DU37" i="9"/>
  <c r="DV36" i="9"/>
  <c r="JA35" i="9"/>
  <c r="JB34" i="9"/>
  <c r="CL36" i="9"/>
  <c r="CK37" i="9"/>
  <c r="AK36" i="9"/>
  <c r="AL35" i="9"/>
  <c r="A291" i="9" s="1"/>
  <c r="LM50" i="9" l="1"/>
  <c r="LN49" i="9"/>
  <c r="LJ46" i="9"/>
  <c r="LI47" i="9"/>
  <c r="IG37" i="9"/>
  <c r="IH36" i="9"/>
  <c r="A425" i="9" s="1"/>
  <c r="CC35" i="9"/>
  <c r="CD34" i="9"/>
  <c r="FF35" i="9"/>
  <c r="FE36" i="9"/>
  <c r="ET35" i="9"/>
  <c r="ES36" i="9"/>
  <c r="AT34" i="9"/>
  <c r="AS35" i="9"/>
  <c r="LA41" i="9"/>
  <c r="LB41" i="9" s="1"/>
  <c r="BB39" i="5"/>
  <c r="BC39" i="5" s="1"/>
  <c r="A284" i="9"/>
  <c r="T35" i="9"/>
  <c r="GD36" i="9"/>
  <c r="GC37" i="9"/>
  <c r="AR43" i="5"/>
  <c r="AS42" i="5"/>
  <c r="AX35" i="5"/>
  <c r="AW36" i="5"/>
  <c r="FJ38" i="9"/>
  <c r="FI39" i="9"/>
  <c r="CW36" i="9"/>
  <c r="CX35" i="9"/>
  <c r="GT36" i="9"/>
  <c r="GS37" i="9"/>
  <c r="HB37" i="9"/>
  <c r="HA38" i="9"/>
  <c r="I41" i="5"/>
  <c r="J40" i="5"/>
  <c r="CL37" i="9"/>
  <c r="CK38" i="9"/>
  <c r="KK40" i="9"/>
  <c r="KL39" i="9"/>
  <c r="O35" i="9"/>
  <c r="A35" i="9" s="1"/>
  <c r="N36" i="9"/>
  <c r="AO37" i="9"/>
  <c r="AP36" i="9"/>
  <c r="BR37" i="9"/>
  <c r="BQ38" i="9"/>
  <c r="DV37" i="9"/>
  <c r="DU38" i="9"/>
  <c r="GG37" i="9"/>
  <c r="GH37" i="9" s="1"/>
  <c r="GH36" i="9"/>
  <c r="DZ35" i="9"/>
  <c r="DY36" i="9"/>
  <c r="EG38" i="9"/>
  <c r="EH37" i="9"/>
  <c r="AM50" i="5"/>
  <c r="AN49" i="5"/>
  <c r="A49" i="5" s="1"/>
  <c r="JF34" i="9"/>
  <c r="JE35" i="9"/>
  <c r="JV51" i="9"/>
  <c r="A479" i="9" s="1"/>
  <c r="JU52" i="9"/>
  <c r="AH35" i="5"/>
  <c r="AI34" i="5"/>
  <c r="X36" i="5"/>
  <c r="Y35" i="5"/>
  <c r="BN36" i="9"/>
  <c r="BM37" i="9"/>
  <c r="GP36" i="9"/>
  <c r="GO37" i="9"/>
  <c r="BF36" i="9"/>
  <c r="BE37" i="9"/>
  <c r="FB35" i="9"/>
  <c r="FA36" i="9"/>
  <c r="T34" i="5"/>
  <c r="S35" i="5"/>
  <c r="KS35" i="9"/>
  <c r="KT34" i="9"/>
  <c r="A503" i="9" s="1"/>
  <c r="JY37" i="9"/>
  <c r="JZ36" i="9"/>
  <c r="FV36" i="9"/>
  <c r="FU37" i="9"/>
  <c r="KW35" i="9"/>
  <c r="KX34" i="9"/>
  <c r="IW36" i="9"/>
  <c r="IX35" i="9"/>
  <c r="O37" i="5"/>
  <c r="N38" i="5"/>
  <c r="IK36" i="9"/>
  <c r="IL35" i="9"/>
  <c r="AL36" i="9"/>
  <c r="A292" i="9" s="1"/>
  <c r="AK37" i="9"/>
  <c r="JB35" i="9"/>
  <c r="JA36" i="9"/>
  <c r="AW37" i="9"/>
  <c r="AX36" i="9"/>
  <c r="HF37" i="9"/>
  <c r="HE38" i="9"/>
  <c r="HF38" i="9" s="1"/>
  <c r="FR37" i="9"/>
  <c r="FQ38" i="9"/>
  <c r="FR38" i="9" s="1"/>
  <c r="AH36" i="9"/>
  <c r="AG37" i="9"/>
  <c r="D36" i="5"/>
  <c r="E35" i="5"/>
  <c r="GX37" i="9"/>
  <c r="GW38" i="9"/>
  <c r="EO37" i="9"/>
  <c r="EP36" i="9"/>
  <c r="JR35" i="9"/>
  <c r="JQ36" i="9"/>
  <c r="HR37" i="9"/>
  <c r="HQ38" i="9"/>
  <c r="DE36" i="9"/>
  <c r="DF35" i="9"/>
  <c r="FN36" i="9"/>
  <c r="FM37" i="9"/>
  <c r="IP35" i="9"/>
  <c r="IO36" i="9"/>
  <c r="AD41" i="5"/>
  <c r="AC42" i="5"/>
  <c r="LN50" i="9" l="1"/>
  <c r="LM51" i="9"/>
  <c r="IH37" i="9"/>
  <c r="A426" i="9" s="1"/>
  <c r="IG38" i="9"/>
  <c r="FF36" i="9"/>
  <c r="FE37" i="9"/>
  <c r="ES37" i="9"/>
  <c r="ET36" i="9"/>
  <c r="AS36" i="9"/>
  <c r="AT36" i="9" s="1"/>
  <c r="AT35" i="9"/>
  <c r="CC36" i="9"/>
  <c r="CD35" i="9"/>
  <c r="LA42" i="9"/>
  <c r="LB42" i="9" s="1"/>
  <c r="BB40" i="5"/>
  <c r="BC40" i="5" s="1"/>
  <c r="BE38" i="9"/>
  <c r="BF37" i="9"/>
  <c r="BN37" i="9"/>
  <c r="BM38" i="9"/>
  <c r="Y36" i="5"/>
  <c r="X37" i="5"/>
  <c r="AM51" i="5"/>
  <c r="AN50" i="5"/>
  <c r="A50" i="5" s="1"/>
  <c r="CW37" i="9"/>
  <c r="CX36" i="9"/>
  <c r="EO38" i="9"/>
  <c r="EP37" i="9"/>
  <c r="D37" i="5"/>
  <c r="E36" i="5"/>
  <c r="AW38" i="9"/>
  <c r="AX38" i="9" s="1"/>
  <c r="AX37" i="9"/>
  <c r="KX35" i="9"/>
  <c r="KW36" i="9"/>
  <c r="BR38" i="9"/>
  <c r="BQ39" i="9"/>
  <c r="CL38" i="9"/>
  <c r="CK39" i="9"/>
  <c r="HA39" i="9"/>
  <c r="HB38" i="9"/>
  <c r="FV37" i="9"/>
  <c r="FU38" i="9"/>
  <c r="DE37" i="9"/>
  <c r="DF36" i="9"/>
  <c r="A285" i="9"/>
  <c r="T36" i="9"/>
  <c r="IK37" i="9"/>
  <c r="IL36" i="9"/>
  <c r="IW37" i="9"/>
  <c r="IX36" i="9"/>
  <c r="KT35" i="9"/>
  <c r="A504" i="9" s="1"/>
  <c r="KS36" i="9"/>
  <c r="JF35" i="9"/>
  <c r="JE36" i="9"/>
  <c r="DY37" i="9"/>
  <c r="DZ36" i="9"/>
  <c r="DV38" i="9"/>
  <c r="DU39" i="9"/>
  <c r="GS38" i="9"/>
  <c r="GT37" i="9"/>
  <c r="AW37" i="5"/>
  <c r="AX36" i="5"/>
  <c r="JY38" i="9"/>
  <c r="JZ37" i="9"/>
  <c r="JV52" i="9"/>
  <c r="A480" i="9" s="1"/>
  <c r="JU53" i="9"/>
  <c r="N37" i="9"/>
  <c r="O36" i="9"/>
  <c r="A36" i="9" s="1"/>
  <c r="FJ39" i="9"/>
  <c r="FI40" i="9"/>
  <c r="GC38" i="9"/>
  <c r="GD37" i="9"/>
  <c r="IP36" i="9"/>
  <c r="IO37" i="9"/>
  <c r="JQ37" i="9"/>
  <c r="JR36" i="9"/>
  <c r="GW39" i="9"/>
  <c r="GX38" i="9"/>
  <c r="AH37" i="9"/>
  <c r="AG38" i="9"/>
  <c r="JA37" i="9"/>
  <c r="JB36" i="9"/>
  <c r="AD42" i="5"/>
  <c r="AC43" i="5"/>
  <c r="FN37" i="9"/>
  <c r="FM38" i="9"/>
  <c r="HR38" i="9"/>
  <c r="HQ39" i="9"/>
  <c r="AL37" i="9"/>
  <c r="A293" i="9" s="1"/>
  <c r="AK38" i="9"/>
  <c r="N39" i="5"/>
  <c r="O38" i="5"/>
  <c r="T35" i="5"/>
  <c r="S36" i="5"/>
  <c r="FB36" i="9"/>
  <c r="FA37" i="9"/>
  <c r="GP37" i="9"/>
  <c r="GO38" i="9"/>
  <c r="GP38" i="9" s="1"/>
  <c r="AI35" i="5"/>
  <c r="AH36" i="5"/>
  <c r="EH38" i="9"/>
  <c r="EG39" i="9"/>
  <c r="AO38" i="9"/>
  <c r="AP37" i="9"/>
  <c r="KL40" i="9"/>
  <c r="KK41" i="9"/>
  <c r="I42" i="5"/>
  <c r="J41" i="5"/>
  <c r="AR44" i="5"/>
  <c r="AS43" i="5"/>
  <c r="LN51" i="9" l="1"/>
  <c r="LM52" i="9"/>
  <c r="IG39" i="9"/>
  <c r="IH38" i="9"/>
  <c r="A427" i="9" s="1"/>
  <c r="CD36" i="9"/>
  <c r="CC37" i="9"/>
  <c r="ET37" i="9"/>
  <c r="ES38" i="9"/>
  <c r="FF37" i="9"/>
  <c r="FE38" i="9"/>
  <c r="LA43" i="9"/>
  <c r="LB43" i="9" s="1"/>
  <c r="BB41" i="5"/>
  <c r="BC41" i="5" s="1"/>
  <c r="FJ40" i="9"/>
  <c r="FI41" i="9"/>
  <c r="FU39" i="9"/>
  <c r="FV38" i="9"/>
  <c r="BR39" i="9"/>
  <c r="BQ40" i="9"/>
  <c r="JB37" i="9"/>
  <c r="A443" i="9" s="1"/>
  <c r="JA38" i="9"/>
  <c r="AW38" i="5"/>
  <c r="AX37" i="5"/>
  <c r="IW38" i="9"/>
  <c r="IX37" i="9"/>
  <c r="HB39" i="9"/>
  <c r="HA40" i="9"/>
  <c r="D38" i="5"/>
  <c r="E37" i="5"/>
  <c r="CW38" i="9"/>
  <c r="CX37" i="9"/>
  <c r="BF38" i="9"/>
  <c r="BE39" i="9"/>
  <c r="AR45" i="5"/>
  <c r="AS44" i="5"/>
  <c r="T36" i="5"/>
  <c r="S37" i="5"/>
  <c r="GW40" i="9"/>
  <c r="GX39" i="9"/>
  <c r="AI36" i="5"/>
  <c r="AH37" i="5"/>
  <c r="FB37" i="9"/>
  <c r="FA38" i="9"/>
  <c r="HQ40" i="9"/>
  <c r="HR40" i="9" s="1"/>
  <c r="HR39" i="9"/>
  <c r="AC44" i="5"/>
  <c r="AD43" i="5"/>
  <c r="AG39" i="9"/>
  <c r="AH38" i="9"/>
  <c r="KS37" i="9"/>
  <c r="KT36" i="9"/>
  <c r="A505" i="9" s="1"/>
  <c r="CL39" i="9"/>
  <c r="CK40" i="9"/>
  <c r="BM39" i="9"/>
  <c r="BN38" i="9"/>
  <c r="KL41" i="9"/>
  <c r="KK42" i="9"/>
  <c r="EH39" i="9"/>
  <c r="EG40" i="9"/>
  <c r="AK39" i="9"/>
  <c r="AL38" i="9"/>
  <c r="A294" i="9" s="1"/>
  <c r="FM39" i="9"/>
  <c r="FN38" i="9"/>
  <c r="IO38" i="9"/>
  <c r="IP37" i="9"/>
  <c r="JV53" i="9"/>
  <c r="A481" i="9" s="1"/>
  <c r="JU54" i="9"/>
  <c r="DV39" i="9"/>
  <c r="DU40" i="9"/>
  <c r="JE37" i="9"/>
  <c r="JF36" i="9"/>
  <c r="KX36" i="9"/>
  <c r="KW37" i="9"/>
  <c r="Y37" i="5"/>
  <c r="X38" i="5"/>
  <c r="J42" i="5"/>
  <c r="I43" i="5"/>
  <c r="AP38" i="9"/>
  <c r="AO39" i="9"/>
  <c r="N40" i="5"/>
  <c r="O39" i="5"/>
  <c r="T37" i="9"/>
  <c r="A286" i="9"/>
  <c r="JR37" i="9"/>
  <c r="JQ38" i="9"/>
  <c r="GC39" i="9"/>
  <c r="GD38" i="9"/>
  <c r="N38" i="9"/>
  <c r="O37" i="9"/>
  <c r="A37" i="9" s="1"/>
  <c r="JZ38" i="9"/>
  <c r="JY39" i="9"/>
  <c r="GT38" i="9"/>
  <c r="GS39" i="9"/>
  <c r="DY38" i="9"/>
  <c r="DZ37" i="9"/>
  <c r="IL37" i="9"/>
  <c r="A430" i="9" s="1"/>
  <c r="IK38" i="9"/>
  <c r="DF37" i="9"/>
  <c r="DE38" i="9"/>
  <c r="EO39" i="9"/>
  <c r="EP38" i="9"/>
  <c r="AN51" i="5"/>
  <c r="A51" i="5" s="1"/>
  <c r="AM52" i="5"/>
  <c r="LM53" i="9" l="1"/>
  <c r="LN52" i="9"/>
  <c r="IH39" i="9"/>
  <c r="A428" i="9" s="1"/>
  <c r="IG40" i="9"/>
  <c r="ET38" i="9"/>
  <c r="ES39" i="9"/>
  <c r="FF38" i="9"/>
  <c r="FE39" i="9"/>
  <c r="CC38" i="9"/>
  <c r="CD37" i="9"/>
  <c r="LA44" i="9"/>
  <c r="LB44" i="9" s="1"/>
  <c r="BB42" i="5"/>
  <c r="BC42" i="5" s="1"/>
  <c r="DF38" i="9"/>
  <c r="DE39" i="9"/>
  <c r="EG41" i="9"/>
  <c r="EH40" i="9"/>
  <c r="S38" i="5"/>
  <c r="T37" i="5"/>
  <c r="FN39" i="9"/>
  <c r="FM40" i="9"/>
  <c r="BN39" i="9"/>
  <c r="BM40" i="9"/>
  <c r="AH39" i="9"/>
  <c r="AG40" i="9"/>
  <c r="D39" i="5"/>
  <c r="E38" i="5"/>
  <c r="IX38" i="9"/>
  <c r="IW39" i="9"/>
  <c r="FU40" i="9"/>
  <c r="FV39" i="9"/>
  <c r="JY40" i="9"/>
  <c r="JZ39" i="9"/>
  <c r="AP39" i="9"/>
  <c r="AO40" i="9"/>
  <c r="JV54" i="9"/>
  <c r="A482" i="9" s="1"/>
  <c r="JU55" i="9"/>
  <c r="BF39" i="9"/>
  <c r="BE40" i="9"/>
  <c r="JB38" i="9"/>
  <c r="A444" i="9" s="1"/>
  <c r="JA39" i="9"/>
  <c r="EO40" i="9"/>
  <c r="EP39" i="9"/>
  <c r="AN52" i="5"/>
  <c r="A52" i="5" s="1"/>
  <c r="AM53" i="5"/>
  <c r="IK39" i="9"/>
  <c r="IL38" i="9"/>
  <c r="A431" i="9" s="1"/>
  <c r="GS40" i="9"/>
  <c r="GT39" i="9"/>
  <c r="JQ39" i="9"/>
  <c r="JR38" i="9"/>
  <c r="I44" i="5"/>
  <c r="J43" i="5"/>
  <c r="KW38" i="9"/>
  <c r="KX37" i="9"/>
  <c r="DV40" i="9"/>
  <c r="DU41" i="9"/>
  <c r="KK43" i="9"/>
  <c r="KL43" i="9" s="1"/>
  <c r="KL42" i="9"/>
  <c r="CL40" i="9"/>
  <c r="CK41" i="9"/>
  <c r="FB38" i="9"/>
  <c r="FA39" i="9"/>
  <c r="HA41" i="9"/>
  <c r="HB40" i="9"/>
  <c r="BR40" i="9"/>
  <c r="BQ41" i="9"/>
  <c r="FJ41" i="9"/>
  <c r="FI42" i="9"/>
  <c r="X39" i="5"/>
  <c r="Y38" i="5"/>
  <c r="A287" i="9"/>
  <c r="T38" i="9"/>
  <c r="AI37" i="5"/>
  <c r="AH38" i="5"/>
  <c r="DY39" i="9"/>
  <c r="DZ38" i="9"/>
  <c r="GD39" i="9"/>
  <c r="GC40" i="9"/>
  <c r="JE38" i="9"/>
  <c r="JF37" i="9"/>
  <c r="N39" i="9"/>
  <c r="O38" i="9"/>
  <c r="A38" i="9" s="1"/>
  <c r="O40" i="5"/>
  <c r="N41" i="5"/>
  <c r="IP38" i="9"/>
  <c r="IO39" i="9"/>
  <c r="AL39" i="9"/>
  <c r="A295" i="9" s="1"/>
  <c r="AK40" i="9"/>
  <c r="KT37" i="9"/>
  <c r="A506" i="9" s="1"/>
  <c r="KS38" i="9"/>
  <c r="AD44" i="5"/>
  <c r="AC45" i="5"/>
  <c r="GW41" i="9"/>
  <c r="GX40" i="9"/>
  <c r="AR46" i="5"/>
  <c r="AS45" i="5"/>
  <c r="CX38" i="9"/>
  <c r="CW39" i="9"/>
  <c r="AW39" i="5"/>
  <c r="AX38" i="5"/>
  <c r="LN53" i="9" l="1"/>
  <c r="LM54" i="9"/>
  <c r="IH40" i="9"/>
  <c r="A429" i="9" s="1"/>
  <c r="IG41" i="9"/>
  <c r="IH41" i="9" s="1"/>
  <c r="FF39" i="9"/>
  <c r="FE40" i="9"/>
  <c r="ET39" i="9"/>
  <c r="ES40" i="9"/>
  <c r="CD38" i="9"/>
  <c r="CC39" i="9"/>
  <c r="LA45" i="9"/>
  <c r="LB45" i="9" s="1"/>
  <c r="BB43" i="5"/>
  <c r="BC43" i="5" s="1"/>
  <c r="CW40" i="9"/>
  <c r="CX39" i="9"/>
  <c r="KT38" i="9"/>
  <c r="A507" i="9" s="1"/>
  <c r="KS39" i="9"/>
  <c r="IO40" i="9"/>
  <c r="IP39" i="9"/>
  <c r="DV41" i="9"/>
  <c r="DU42" i="9"/>
  <c r="JB39" i="9"/>
  <c r="A445" i="9" s="1"/>
  <c r="JA40" i="9"/>
  <c r="JV55" i="9"/>
  <c r="A483" i="9" s="1"/>
  <c r="JU56" i="9"/>
  <c r="IX39" i="9"/>
  <c r="IW40" i="9"/>
  <c r="FN40" i="9"/>
  <c r="FM41" i="9"/>
  <c r="GX41" i="9"/>
  <c r="GW42" i="9"/>
  <c r="N40" i="9"/>
  <c r="O39" i="9"/>
  <c r="A39" i="9" s="1"/>
  <c r="JY41" i="9"/>
  <c r="JZ40" i="9"/>
  <c r="T39" i="9"/>
  <c r="A288" i="9"/>
  <c r="T38" i="5"/>
  <c r="S39" i="5"/>
  <c r="EG42" i="9"/>
  <c r="EH41" i="9"/>
  <c r="JF38" i="9"/>
  <c r="JE39" i="9"/>
  <c r="DY40" i="9"/>
  <c r="DZ39" i="9"/>
  <c r="HB41" i="9"/>
  <c r="HA42" i="9"/>
  <c r="J44" i="5"/>
  <c r="I45" i="5"/>
  <c r="GS41" i="9"/>
  <c r="GT40" i="9"/>
  <c r="BE41" i="9"/>
  <c r="BF40" i="9"/>
  <c r="AO41" i="9"/>
  <c r="AP40" i="9"/>
  <c r="BN40" i="9"/>
  <c r="A306" i="9" s="1"/>
  <c r="BM41" i="9"/>
  <c r="DF39" i="9"/>
  <c r="DE40" i="9"/>
  <c r="FJ42" i="9"/>
  <c r="FI43" i="9"/>
  <c r="CK42" i="9"/>
  <c r="CL41" i="9"/>
  <c r="AM54" i="5"/>
  <c r="AN53" i="5"/>
  <c r="A53" i="5" s="1"/>
  <c r="AH40" i="9"/>
  <c r="AG41" i="9"/>
  <c r="AH41" i="9" s="1"/>
  <c r="AC46" i="5"/>
  <c r="AD45" i="5"/>
  <c r="AK41" i="9"/>
  <c r="AL40" i="9"/>
  <c r="A296" i="9" s="1"/>
  <c r="N42" i="5"/>
  <c r="O41" i="5"/>
  <c r="GD40" i="9"/>
  <c r="GC41" i="9"/>
  <c r="GD41" i="9" s="1"/>
  <c r="AI38" i="5"/>
  <c r="AH39" i="5"/>
  <c r="BR41" i="9"/>
  <c r="BQ42" i="9"/>
  <c r="FA40" i="9"/>
  <c r="FB39" i="9"/>
  <c r="AW40" i="5"/>
  <c r="AX39" i="5"/>
  <c r="AR47" i="5"/>
  <c r="AS46" i="5"/>
  <c r="X40" i="5"/>
  <c r="Y39" i="5"/>
  <c r="KW39" i="9"/>
  <c r="KX38" i="9"/>
  <c r="JR39" i="9"/>
  <c r="JQ40" i="9"/>
  <c r="IL39" i="9"/>
  <c r="A432" i="9" s="1"/>
  <c r="IK40" i="9"/>
  <c r="EO41" i="9"/>
  <c r="EP40" i="9"/>
  <c r="FU41" i="9"/>
  <c r="FV40" i="9"/>
  <c r="E39" i="5"/>
  <c r="D40" i="5"/>
  <c r="LM55" i="9" l="1"/>
  <c r="LN54" i="9"/>
  <c r="ES41" i="9"/>
  <c r="ET40" i="9"/>
  <c r="CC40" i="9"/>
  <c r="CD39" i="9"/>
  <c r="FE41" i="9"/>
  <c r="FF40" i="9"/>
  <c r="LA46" i="9"/>
  <c r="LB46" i="9" s="1"/>
  <c r="A529" i="9" s="1"/>
  <c r="BB44" i="5"/>
  <c r="BC44" i="5" s="1"/>
  <c r="A289" i="9"/>
  <c r="T40" i="9"/>
  <c r="FM42" i="9"/>
  <c r="FN42" i="9" s="1"/>
  <c r="FN41" i="9"/>
  <c r="KT39" i="9"/>
  <c r="A508" i="9" s="1"/>
  <c r="KS40" i="9"/>
  <c r="JQ41" i="9"/>
  <c r="JR40" i="9"/>
  <c r="FU42" i="9"/>
  <c r="FV41" i="9"/>
  <c r="CL42" i="9"/>
  <c r="CK43" i="9"/>
  <c r="BN41" i="9"/>
  <c r="A307" i="9" s="1"/>
  <c r="BM42" i="9"/>
  <c r="DV42" i="9"/>
  <c r="DU43" i="9"/>
  <c r="AI39" i="5"/>
  <c r="AH40" i="5"/>
  <c r="FJ43" i="9"/>
  <c r="FI44" i="9"/>
  <c r="BF41" i="9"/>
  <c r="BE42" i="9"/>
  <c r="BF42" i="9" s="1"/>
  <c r="DZ40" i="9"/>
  <c r="DY41" i="9"/>
  <c r="EH42" i="9"/>
  <c r="EG43" i="9"/>
  <c r="N41" i="9"/>
  <c r="O40" i="9"/>
  <c r="A40" i="9" s="1"/>
  <c r="EO42" i="9"/>
  <c r="EP41" i="9"/>
  <c r="X41" i="5"/>
  <c r="Y40" i="5"/>
  <c r="AR48" i="5"/>
  <c r="AS47" i="5"/>
  <c r="FB40" i="9"/>
  <c r="FA41" i="9"/>
  <c r="N43" i="5"/>
  <c r="O42" i="5"/>
  <c r="AD46" i="5"/>
  <c r="AC47" i="5"/>
  <c r="AM55" i="5"/>
  <c r="AN54" i="5"/>
  <c r="A54" i="5" s="1"/>
  <c r="HB42" i="9"/>
  <c r="HA43" i="9"/>
  <c r="HB43" i="9" s="1"/>
  <c r="JF39" i="9"/>
  <c r="JE40" i="9"/>
  <c r="S40" i="5"/>
  <c r="T39" i="5"/>
  <c r="GW43" i="9"/>
  <c r="GX43" i="9" s="1"/>
  <c r="GX42" i="9"/>
  <c r="IX40" i="9"/>
  <c r="IW41" i="9"/>
  <c r="JB40" i="9"/>
  <c r="A446" i="9" s="1"/>
  <c r="JA41" i="9"/>
  <c r="KX39" i="9"/>
  <c r="KW40" i="9"/>
  <c r="AW41" i="5"/>
  <c r="AX40" i="5"/>
  <c r="AL41" i="9"/>
  <c r="A297" i="9" s="1"/>
  <c r="AK42" i="9"/>
  <c r="I46" i="5"/>
  <c r="J45" i="5"/>
  <c r="JV56" i="9"/>
  <c r="A484" i="9" s="1"/>
  <c r="JU57" i="9"/>
  <c r="D41" i="5"/>
  <c r="E40" i="5"/>
  <c r="IL40" i="9"/>
  <c r="A433" i="9" s="1"/>
  <c r="IK41" i="9"/>
  <c r="BQ43" i="9"/>
  <c r="BR42" i="9"/>
  <c r="A290" i="9"/>
  <c r="T41" i="9"/>
  <c r="DF40" i="9"/>
  <c r="DE41" i="9"/>
  <c r="AO42" i="9"/>
  <c r="AP41" i="9"/>
  <c r="GT41" i="9"/>
  <c r="GS42" i="9"/>
  <c r="JY42" i="9"/>
  <c r="JZ41" i="9"/>
  <c r="IO41" i="9"/>
  <c r="IP41" i="9" s="1"/>
  <c r="IP40" i="9"/>
  <c r="CW41" i="9"/>
  <c r="CX40" i="9"/>
  <c r="LN55" i="9" l="1"/>
  <c r="LM56" i="9"/>
  <c r="FF41" i="9"/>
  <c r="FE42" i="9"/>
  <c r="CD40" i="9"/>
  <c r="CC41" i="9"/>
  <c r="ET41" i="9"/>
  <c r="ES42" i="9"/>
  <c r="ET42" i="9" s="1"/>
  <c r="LA47" i="9"/>
  <c r="LB47" i="9" s="1"/>
  <c r="A530" i="9" s="1"/>
  <c r="BB45" i="5"/>
  <c r="BC45" i="5" s="1"/>
  <c r="CW42" i="9"/>
  <c r="CX41" i="9"/>
  <c r="JZ42" i="9"/>
  <c r="JY43" i="9"/>
  <c r="AP42" i="9"/>
  <c r="AO43" i="9"/>
  <c r="BR43" i="9"/>
  <c r="BQ44" i="9"/>
  <c r="GS43" i="9"/>
  <c r="GT43" i="9" s="1"/>
  <c r="GT42" i="9"/>
  <c r="FA42" i="9"/>
  <c r="FB41" i="9"/>
  <c r="FJ44" i="9"/>
  <c r="FI45" i="9"/>
  <c r="DU44" i="9"/>
  <c r="DV43" i="9"/>
  <c r="CL43" i="9"/>
  <c r="CK44" i="9"/>
  <c r="X42" i="5"/>
  <c r="Y41" i="5"/>
  <c r="N42" i="9"/>
  <c r="O41" i="9"/>
  <c r="A41" i="9" s="1"/>
  <c r="JQ42" i="9"/>
  <c r="JR41" i="9"/>
  <c r="JA42" i="9"/>
  <c r="JB41" i="9"/>
  <c r="A447" i="9" s="1"/>
  <c r="JE41" i="9"/>
  <c r="JF40" i="9"/>
  <c r="AC48" i="5"/>
  <c r="AD47" i="5"/>
  <c r="DZ41" i="9"/>
  <c r="DY42" i="9"/>
  <c r="E41" i="5"/>
  <c r="D42" i="5"/>
  <c r="I47" i="5"/>
  <c r="J46" i="5"/>
  <c r="AX41" i="5"/>
  <c r="AW42" i="5"/>
  <c r="DF41" i="9"/>
  <c r="DE42" i="9"/>
  <c r="IK42" i="9"/>
  <c r="IL41" i="9"/>
  <c r="A434" i="9" s="1"/>
  <c r="JU58" i="9"/>
  <c r="JV57" i="9"/>
  <c r="A485" i="9" s="1"/>
  <c r="AK43" i="9"/>
  <c r="AL42" i="9"/>
  <c r="A298" i="9" s="1"/>
  <c r="KX40" i="9"/>
  <c r="KW41" i="9"/>
  <c r="IX41" i="9"/>
  <c r="IW42" i="9"/>
  <c r="IX42" i="9" s="1"/>
  <c r="EH43" i="9"/>
  <c r="EG44" i="9"/>
  <c r="EH44" i="9" s="1"/>
  <c r="AI40" i="5"/>
  <c r="AH41" i="5"/>
  <c r="BN42" i="9"/>
  <c r="A308" i="9" s="1"/>
  <c r="BM43" i="9"/>
  <c r="KT40" i="9"/>
  <c r="A509" i="9" s="1"/>
  <c r="KS41" i="9"/>
  <c r="T40" i="5"/>
  <c r="S41" i="5"/>
  <c r="AM56" i="5"/>
  <c r="AN55" i="5"/>
  <c r="A55" i="5" s="1"/>
  <c r="N44" i="5"/>
  <c r="O43" i="5"/>
  <c r="AS48" i="5"/>
  <c r="AR49" i="5"/>
  <c r="EP42" i="9"/>
  <c r="EO43" i="9"/>
  <c r="FU43" i="9"/>
  <c r="FV42" i="9"/>
  <c r="LM57" i="9" l="1"/>
  <c r="LN56" i="9"/>
  <c r="CD41" i="9"/>
  <c r="CC42" i="9"/>
  <c r="CD42" i="9" s="1"/>
  <c r="FE43" i="9"/>
  <c r="FF42" i="9"/>
  <c r="LA48" i="9"/>
  <c r="LB48" i="9" s="1"/>
  <c r="A531" i="9" s="1"/>
  <c r="BB46" i="5"/>
  <c r="BC46" i="5" s="1"/>
  <c r="EP43" i="9"/>
  <c r="EO44" i="9"/>
  <c r="S42" i="5"/>
  <c r="T41" i="5"/>
  <c r="BM44" i="9"/>
  <c r="BN43" i="9"/>
  <c r="A309" i="9" s="1"/>
  <c r="KW42" i="9"/>
  <c r="KX41" i="9"/>
  <c r="BR44" i="9"/>
  <c r="BQ45" i="9"/>
  <c r="JY44" i="9"/>
  <c r="JZ43" i="9"/>
  <c r="N45" i="5"/>
  <c r="O44" i="5"/>
  <c r="JV58" i="9"/>
  <c r="A486" i="9" s="1"/>
  <c r="JU59" i="9"/>
  <c r="I48" i="5"/>
  <c r="J47" i="5"/>
  <c r="AC49" i="5"/>
  <c r="AD48" i="5"/>
  <c r="JA43" i="9"/>
  <c r="JB42" i="9"/>
  <c r="A448" i="9" s="1"/>
  <c r="N43" i="9"/>
  <c r="O42" i="9"/>
  <c r="A42" i="9" s="1"/>
  <c r="DV44" i="9"/>
  <c r="DU45" i="9"/>
  <c r="FA43" i="9"/>
  <c r="FB42" i="9"/>
  <c r="DF42" i="9"/>
  <c r="DE43" i="9"/>
  <c r="AS49" i="5"/>
  <c r="AR50" i="5"/>
  <c r="KS42" i="9"/>
  <c r="KT41" i="9"/>
  <c r="A510" i="9" s="1"/>
  <c r="AH42" i="5"/>
  <c r="AI41" i="5"/>
  <c r="AX42" i="5"/>
  <c r="AW43" i="5"/>
  <c r="E42" i="5"/>
  <c r="D43" i="5"/>
  <c r="DY43" i="9"/>
  <c r="DZ42" i="9"/>
  <c r="CL44" i="9"/>
  <c r="CK45" i="9"/>
  <c r="FI46" i="9"/>
  <c r="FJ45" i="9"/>
  <c r="AP43" i="9"/>
  <c r="AO44" i="9"/>
  <c r="FU44" i="9"/>
  <c r="FV43" i="9"/>
  <c r="AM57" i="5"/>
  <c r="AN56" i="5"/>
  <c r="A56" i="5" s="1"/>
  <c r="AK44" i="9"/>
  <c r="AL43" i="9"/>
  <c r="A299" i="9" s="1"/>
  <c r="IL42" i="9"/>
  <c r="A435" i="9" s="1"/>
  <c r="IK43" i="9"/>
  <c r="JE42" i="9"/>
  <c r="JF41" i="9"/>
  <c r="JQ43" i="9"/>
  <c r="JR43" i="9" s="1"/>
  <c r="JR42" i="9"/>
  <c r="X43" i="5"/>
  <c r="Y42" i="5"/>
  <c r="CX42" i="9"/>
  <c r="CW43" i="9"/>
  <c r="LN57" i="9" l="1"/>
  <c r="LM58" i="9"/>
  <c r="FE44" i="9"/>
  <c r="FF43" i="9"/>
  <c r="LA49" i="9"/>
  <c r="LB49" i="9" s="1"/>
  <c r="A532" i="9" s="1"/>
  <c r="BB47" i="5"/>
  <c r="BC47" i="5" s="1"/>
  <c r="DF43" i="9"/>
  <c r="DE44" i="9"/>
  <c r="DU46" i="9"/>
  <c r="DV45" i="9"/>
  <c r="X44" i="5"/>
  <c r="Y43" i="5"/>
  <c r="JF42" i="9"/>
  <c r="JE43" i="9"/>
  <c r="AK45" i="9"/>
  <c r="AL44" i="9"/>
  <c r="A300" i="9" s="1"/>
  <c r="FV44" i="9"/>
  <c r="FU45" i="9"/>
  <c r="FI47" i="9"/>
  <c r="FJ46" i="9"/>
  <c r="DZ43" i="9"/>
  <c r="DY44" i="9"/>
  <c r="KT42" i="9"/>
  <c r="A511" i="9" s="1"/>
  <c r="KS43" i="9"/>
  <c r="JB43" i="9"/>
  <c r="A449" i="9" s="1"/>
  <c r="JA44" i="9"/>
  <c r="BR45" i="9"/>
  <c r="BQ46" i="9"/>
  <c r="CW44" i="9"/>
  <c r="CX43" i="9"/>
  <c r="IK44" i="9"/>
  <c r="IL43" i="9"/>
  <c r="A436" i="9" s="1"/>
  <c r="AP44" i="9"/>
  <c r="AO45" i="9"/>
  <c r="CL45" i="9"/>
  <c r="CK46" i="9"/>
  <c r="D44" i="5"/>
  <c r="E43" i="5"/>
  <c r="AS50" i="5"/>
  <c r="AR51" i="5"/>
  <c r="I49" i="5"/>
  <c r="J48" i="5"/>
  <c r="O45" i="5"/>
  <c r="N46" i="5"/>
  <c r="KX42" i="9"/>
  <c r="KW43" i="9"/>
  <c r="T42" i="5"/>
  <c r="S43" i="5"/>
  <c r="AM58" i="5"/>
  <c r="AN57" i="5"/>
  <c r="A57" i="5" s="1"/>
  <c r="AH43" i="5"/>
  <c r="AI42" i="5"/>
  <c r="FB43" i="9"/>
  <c r="FA44" i="9"/>
  <c r="N44" i="9"/>
  <c r="O43" i="9"/>
  <c r="A43" i="9" s="1"/>
  <c r="AD49" i="5"/>
  <c r="AC50" i="5"/>
  <c r="JU60" i="9"/>
  <c r="JV59" i="9"/>
  <c r="A487" i="9" s="1"/>
  <c r="EO45" i="9"/>
  <c r="EP44" i="9"/>
  <c r="AX43" i="5"/>
  <c r="AW44" i="5"/>
  <c r="JZ44" i="9"/>
  <c r="JY45" i="9"/>
  <c r="BM45" i="9"/>
  <c r="BN44" i="9"/>
  <c r="A310" i="9" s="1"/>
  <c r="LM59" i="9" l="1"/>
  <c r="LN58" i="9"/>
  <c r="LA50" i="9"/>
  <c r="LB50" i="9" s="1"/>
  <c r="A533" i="9" s="1"/>
  <c r="FF44" i="9"/>
  <c r="FE45" i="9"/>
  <c r="BB48" i="5"/>
  <c r="BC48" i="5" s="1"/>
  <c r="EO46" i="9"/>
  <c r="EP45" i="9"/>
  <c r="N45" i="9"/>
  <c r="O44" i="9"/>
  <c r="A44" i="9" s="1"/>
  <c r="AI43" i="5"/>
  <c r="AH44" i="5"/>
  <c r="AX44" i="5"/>
  <c r="AW45" i="5"/>
  <c r="FB44" i="9"/>
  <c r="FA45" i="9"/>
  <c r="KX43" i="9"/>
  <c r="KW44" i="9"/>
  <c r="AO46" i="9"/>
  <c r="AP46" i="9" s="1"/>
  <c r="A305" i="9" s="1"/>
  <c r="AP45" i="9"/>
  <c r="JA45" i="9"/>
  <c r="JB44" i="9"/>
  <c r="A450" i="9" s="1"/>
  <c r="DY45" i="9"/>
  <c r="DZ44" i="9"/>
  <c r="FU46" i="9"/>
  <c r="FV45" i="9"/>
  <c r="JE44" i="9"/>
  <c r="JF43" i="9"/>
  <c r="BM46" i="9"/>
  <c r="BN45" i="9"/>
  <c r="A311" i="9" s="1"/>
  <c r="AN58" i="5"/>
  <c r="A58" i="5" s="1"/>
  <c r="AM59" i="5"/>
  <c r="I50" i="5"/>
  <c r="J49" i="5"/>
  <c r="D45" i="5"/>
  <c r="E44" i="5"/>
  <c r="CX44" i="9"/>
  <c r="CW45" i="9"/>
  <c r="DU47" i="9"/>
  <c r="DV46" i="9"/>
  <c r="AC51" i="5"/>
  <c r="AD50" i="5"/>
  <c r="JZ45" i="9"/>
  <c r="JY46" i="9"/>
  <c r="T43" i="5"/>
  <c r="S44" i="5"/>
  <c r="N47" i="5"/>
  <c r="O46" i="5"/>
  <c r="AS51" i="5"/>
  <c r="AR52" i="5"/>
  <c r="CL46" i="9"/>
  <c r="CK47" i="9"/>
  <c r="BR46" i="9"/>
  <c r="BQ47" i="9"/>
  <c r="KS44" i="9"/>
  <c r="KT43" i="9"/>
  <c r="A512" i="9" s="1"/>
  <c r="DF44" i="9"/>
  <c r="DE45" i="9"/>
  <c r="JU61" i="9"/>
  <c r="JV60" i="9"/>
  <c r="A488" i="9" s="1"/>
  <c r="IK45" i="9"/>
  <c r="IL44" i="9"/>
  <c r="A437" i="9" s="1"/>
  <c r="FJ47" i="9"/>
  <c r="FI48" i="9"/>
  <c r="AL45" i="9"/>
  <c r="A301" i="9" s="1"/>
  <c r="AK46" i="9"/>
  <c r="X45" i="5"/>
  <c r="Y44" i="5"/>
  <c r="LN59" i="9" l="1"/>
  <c r="LM60" i="9"/>
  <c r="LA51" i="9"/>
  <c r="LB51" i="9" s="1"/>
  <c r="A534" i="9" s="1"/>
  <c r="C160" i="10" s="1"/>
  <c r="F159" i="10" s="1"/>
  <c r="FF45" i="9"/>
  <c r="FE46" i="9"/>
  <c r="BB49" i="5"/>
  <c r="BC49" i="5" s="1"/>
  <c r="CK48" i="9"/>
  <c r="CL47" i="9"/>
  <c r="JY47" i="9"/>
  <c r="JZ46" i="9"/>
  <c r="AN59" i="5"/>
  <c r="A59" i="5" s="1"/>
  <c r="AM60" i="5"/>
  <c r="FB45" i="9"/>
  <c r="FA46" i="9"/>
  <c r="AX45" i="5"/>
  <c r="AW46" i="5"/>
  <c r="X46" i="5"/>
  <c r="Y45" i="5"/>
  <c r="JU62" i="9"/>
  <c r="JV61" i="9"/>
  <c r="A489" i="9" s="1"/>
  <c r="KS45" i="9"/>
  <c r="KT44" i="9"/>
  <c r="A513" i="9" s="1"/>
  <c r="O47" i="5"/>
  <c r="N48" i="5"/>
  <c r="DV47" i="9"/>
  <c r="DU48" i="9"/>
  <c r="D46" i="5"/>
  <c r="E45" i="5"/>
  <c r="JE45" i="9"/>
  <c r="JF44" i="9"/>
  <c r="DY46" i="9"/>
  <c r="DZ45" i="9"/>
  <c r="O45" i="9"/>
  <c r="A45" i="9" s="1"/>
  <c r="N46" i="9"/>
  <c r="AK47" i="9"/>
  <c r="AL46" i="9"/>
  <c r="A302" i="9" s="1"/>
  <c r="DE46" i="9"/>
  <c r="DF45" i="9"/>
  <c r="AR53" i="5"/>
  <c r="AS52" i="5"/>
  <c r="T44" i="5"/>
  <c r="S45" i="5"/>
  <c r="CX45" i="9"/>
  <c r="CW46" i="9"/>
  <c r="KX44" i="9"/>
  <c r="KW45" i="9"/>
  <c r="AI44" i="5"/>
  <c r="AH45" i="5"/>
  <c r="FJ48" i="9"/>
  <c r="FI49" i="9"/>
  <c r="BR47" i="9"/>
  <c r="BQ48" i="9"/>
  <c r="IL45" i="9"/>
  <c r="A438" i="9" s="1"/>
  <c r="IK46" i="9"/>
  <c r="AC52" i="5"/>
  <c r="AD51" i="5"/>
  <c r="J50" i="5"/>
  <c r="I51" i="5"/>
  <c r="BN46" i="9"/>
  <c r="A312" i="9" s="1"/>
  <c r="BM47" i="9"/>
  <c r="FU47" i="9"/>
  <c r="FV46" i="9"/>
  <c r="JB45" i="9"/>
  <c r="A451" i="9" s="1"/>
  <c r="JA46" i="9"/>
  <c r="EO47" i="9"/>
  <c r="EP46" i="9"/>
  <c r="LN60" i="9" l="1"/>
  <c r="LM61" i="9"/>
  <c r="FF46" i="9"/>
  <c r="FE47" i="9"/>
  <c r="LA52" i="9"/>
  <c r="LB52" i="9" s="1"/>
  <c r="BB50" i="5"/>
  <c r="BC50" i="5" s="1"/>
  <c r="FA47" i="9"/>
  <c r="FB46" i="9"/>
  <c r="FV47" i="9"/>
  <c r="FU48" i="9"/>
  <c r="DF46" i="9"/>
  <c r="DE47" i="9"/>
  <c r="JF45" i="9"/>
  <c r="JE46" i="9"/>
  <c r="KT45" i="9"/>
  <c r="A514" i="9" s="1"/>
  <c r="KS46" i="9"/>
  <c r="X47" i="5"/>
  <c r="Y46" i="5"/>
  <c r="JZ47" i="9"/>
  <c r="JY48" i="9"/>
  <c r="I52" i="5"/>
  <c r="J51" i="5"/>
  <c r="FJ49" i="9"/>
  <c r="FI50" i="9"/>
  <c r="S46" i="5"/>
  <c r="T45" i="5"/>
  <c r="O46" i="9"/>
  <c r="A46" i="9" s="1"/>
  <c r="N47" i="9"/>
  <c r="JB46" i="9"/>
  <c r="A452" i="9" s="1"/>
  <c r="JA47" i="9"/>
  <c r="BN47" i="9"/>
  <c r="A313" i="9" s="1"/>
  <c r="BM48" i="9"/>
  <c r="BR48" i="9"/>
  <c r="BQ49" i="9"/>
  <c r="AH46" i="5"/>
  <c r="AI45" i="5"/>
  <c r="CX46" i="9"/>
  <c r="CW47" i="9"/>
  <c r="O48" i="5"/>
  <c r="N49" i="5"/>
  <c r="AW47" i="5"/>
  <c r="AX46" i="5"/>
  <c r="AN60" i="5"/>
  <c r="A60" i="5" s="1"/>
  <c r="AM61" i="5"/>
  <c r="IK47" i="9"/>
  <c r="IL46" i="9"/>
  <c r="A439" i="9" s="1"/>
  <c r="KX45" i="9"/>
  <c r="KW46" i="9"/>
  <c r="DV48" i="9"/>
  <c r="DU49" i="9"/>
  <c r="EP47" i="9"/>
  <c r="EO48" i="9"/>
  <c r="AD52" i="5"/>
  <c r="AC53" i="5"/>
  <c r="AS53" i="5"/>
  <c r="AR54" i="5"/>
  <c r="AK48" i="9"/>
  <c r="AL48" i="9" s="1"/>
  <c r="A304" i="9" s="1"/>
  <c r="AL47" i="9"/>
  <c r="A303" i="9" s="1"/>
  <c r="DY47" i="9"/>
  <c r="DZ46" i="9"/>
  <c r="D47" i="5"/>
  <c r="E46" i="5"/>
  <c r="JU63" i="9"/>
  <c r="JV62" i="9"/>
  <c r="A490" i="9" s="1"/>
  <c r="CK49" i="9"/>
  <c r="CL48" i="9"/>
  <c r="LN61" i="9" l="1"/>
  <c r="LM62" i="9"/>
  <c r="LA53" i="9"/>
  <c r="LB53" i="9" s="1"/>
  <c r="FE48" i="9"/>
  <c r="FF47" i="9"/>
  <c r="BB51" i="5"/>
  <c r="BC51" i="5" s="1"/>
  <c r="KX46" i="9"/>
  <c r="KW47" i="9"/>
  <c r="FI51" i="9"/>
  <c r="FJ50" i="9"/>
  <c r="JY49" i="9"/>
  <c r="JZ49" i="9" s="1"/>
  <c r="JZ48" i="9"/>
  <c r="KT46" i="9"/>
  <c r="A515" i="9" s="1"/>
  <c r="KS47" i="9"/>
  <c r="JU64" i="9"/>
  <c r="JV63" i="9"/>
  <c r="AH47" i="5"/>
  <c r="AI46" i="5"/>
  <c r="EO49" i="9"/>
  <c r="EP48" i="9"/>
  <c r="O49" i="5"/>
  <c r="N50" i="5"/>
  <c r="N48" i="9"/>
  <c r="O47" i="9"/>
  <c r="A47" i="9" s="1"/>
  <c r="DF47" i="9"/>
  <c r="DE48" i="9"/>
  <c r="DY48" i="9"/>
  <c r="DZ47" i="9"/>
  <c r="AC54" i="5"/>
  <c r="AD53" i="5"/>
  <c r="DV49" i="9"/>
  <c r="DU50" i="9"/>
  <c r="CX47" i="9"/>
  <c r="CW48" i="9"/>
  <c r="BR49" i="9"/>
  <c r="BQ50" i="9"/>
  <c r="JB47" i="9"/>
  <c r="A453" i="9" s="1"/>
  <c r="JA48" i="9"/>
  <c r="JE47" i="9"/>
  <c r="JF46" i="9"/>
  <c r="FV48" i="9"/>
  <c r="FU49" i="9"/>
  <c r="AR55" i="5"/>
  <c r="AS54" i="5"/>
  <c r="AM62" i="5"/>
  <c r="AN61" i="5"/>
  <c r="A61" i="5" s="1"/>
  <c r="BN48" i="9"/>
  <c r="A314" i="9" s="1"/>
  <c r="BM49" i="9"/>
  <c r="CL49" i="9"/>
  <c r="CK50" i="9"/>
  <c r="D48" i="5"/>
  <c r="E47" i="5"/>
  <c r="IK48" i="9"/>
  <c r="IL47" i="9"/>
  <c r="A440" i="9" s="1"/>
  <c r="AX47" i="5"/>
  <c r="AW48" i="5"/>
  <c r="S47" i="5"/>
  <c r="T46" i="5"/>
  <c r="I53" i="5"/>
  <c r="J52" i="5"/>
  <c r="Y47" i="5"/>
  <c r="X48" i="5"/>
  <c r="FB47" i="9"/>
  <c r="FA48" i="9"/>
  <c r="LN62" i="9" l="1"/>
  <c r="LM63" i="9"/>
  <c r="A491" i="9"/>
  <c r="FF48" i="9"/>
  <c r="FE49" i="9"/>
  <c r="LA54" i="9"/>
  <c r="LB54" i="9" s="1"/>
  <c r="BB52" i="5"/>
  <c r="BC52" i="5" s="1"/>
  <c r="FB48" i="9"/>
  <c r="FA49" i="9"/>
  <c r="AW49" i="5"/>
  <c r="AX48" i="5"/>
  <c r="BN49" i="9"/>
  <c r="A315" i="9" s="1"/>
  <c r="BM50" i="9"/>
  <c r="DV50" i="9"/>
  <c r="DU51" i="9"/>
  <c r="KS48" i="9"/>
  <c r="KT47" i="9"/>
  <c r="A516" i="9" s="1"/>
  <c r="I54" i="5"/>
  <c r="J53" i="5"/>
  <c r="D49" i="5"/>
  <c r="E48" i="5"/>
  <c r="AS55" i="5"/>
  <c r="AR56" i="5"/>
  <c r="JF47" i="9"/>
  <c r="JE48" i="9"/>
  <c r="DY49" i="9"/>
  <c r="DZ48" i="9"/>
  <c r="O48" i="9"/>
  <c r="A48" i="9" s="1"/>
  <c r="N49" i="9"/>
  <c r="EP49" i="9"/>
  <c r="EO50" i="9"/>
  <c r="AI47" i="5"/>
  <c r="AH48" i="5"/>
  <c r="FI52" i="9"/>
  <c r="FJ51" i="9"/>
  <c r="CK51" i="9"/>
  <c r="CL50" i="9"/>
  <c r="FU50" i="9"/>
  <c r="FV49" i="9"/>
  <c r="JA49" i="9"/>
  <c r="JB48" i="9"/>
  <c r="A454" i="9" s="1"/>
  <c r="CX48" i="9"/>
  <c r="CW49" i="9"/>
  <c r="DF48" i="9"/>
  <c r="DE49" i="9"/>
  <c r="N51" i="5"/>
  <c r="O50" i="5"/>
  <c r="KX47" i="9"/>
  <c r="KW48" i="9"/>
  <c r="BR50" i="9"/>
  <c r="BQ51" i="9"/>
  <c r="X49" i="5"/>
  <c r="Y48" i="5"/>
  <c r="S48" i="5"/>
  <c r="T47" i="5"/>
  <c r="IK49" i="9"/>
  <c r="IL49" i="9" s="1"/>
  <c r="A442" i="9" s="1"/>
  <c r="IL48" i="9"/>
  <c r="A441" i="9" s="1"/>
  <c r="AM63" i="5"/>
  <c r="AN62" i="5"/>
  <c r="A62" i="5" s="1"/>
  <c r="AD54" i="5"/>
  <c r="AC55" i="5"/>
  <c r="JV64" i="9"/>
  <c r="A492" i="9" s="1"/>
  <c r="JU65" i="9"/>
  <c r="LN63" i="9" l="1"/>
  <c r="LM64" i="9"/>
  <c r="FE50" i="9"/>
  <c r="FF49" i="9"/>
  <c r="LA55" i="9"/>
  <c r="LB55" i="9" s="1"/>
  <c r="BB53" i="5"/>
  <c r="BC53" i="5" s="1"/>
  <c r="KW49" i="9"/>
  <c r="KX48" i="9"/>
  <c r="CW50" i="9"/>
  <c r="CX49" i="9"/>
  <c r="EP50" i="9"/>
  <c r="EO51" i="9"/>
  <c r="AS56" i="5"/>
  <c r="AR57" i="5"/>
  <c r="DV51" i="9"/>
  <c r="DU52" i="9"/>
  <c r="Y49" i="5"/>
  <c r="X50" i="5"/>
  <c r="N52" i="5"/>
  <c r="O51" i="5"/>
  <c r="FU51" i="9"/>
  <c r="FV51" i="9" s="1"/>
  <c r="FV50" i="9"/>
  <c r="FI53" i="9"/>
  <c r="FJ52" i="9"/>
  <c r="DY50" i="9"/>
  <c r="DZ49" i="9"/>
  <c r="I55" i="5"/>
  <c r="J54" i="5"/>
  <c r="AX49" i="5"/>
  <c r="AW50" i="5"/>
  <c r="AD55" i="5"/>
  <c r="AC56" i="5"/>
  <c r="AI48" i="5"/>
  <c r="AH49" i="5"/>
  <c r="N50" i="9"/>
  <c r="O49" i="9"/>
  <c r="A49" i="9" s="1"/>
  <c r="JF48" i="9"/>
  <c r="JE49" i="9"/>
  <c r="JF49" i="9" s="1"/>
  <c r="BN50" i="9"/>
  <c r="A316" i="9" s="1"/>
  <c r="BM51" i="9"/>
  <c r="FB49" i="9"/>
  <c r="FA50" i="9"/>
  <c r="JU66" i="9"/>
  <c r="JV65" i="9"/>
  <c r="A493" i="9" s="1"/>
  <c r="BQ52" i="9"/>
  <c r="BR51" i="9"/>
  <c r="DE50" i="9"/>
  <c r="DF49" i="9"/>
  <c r="AN63" i="5"/>
  <c r="A63" i="5" s="1"/>
  <c r="AM64" i="5"/>
  <c r="T48" i="5"/>
  <c r="S49" i="5"/>
  <c r="JB49" i="9"/>
  <c r="A455" i="9" s="1"/>
  <c r="JA50" i="9"/>
  <c r="CK52" i="9"/>
  <c r="CL51" i="9"/>
  <c r="E49" i="5"/>
  <c r="D50" i="5"/>
  <c r="KS49" i="9"/>
  <c r="KT48" i="9"/>
  <c r="A517" i="9" s="1"/>
  <c r="LN64" i="9" l="1"/>
  <c r="LM65" i="9"/>
  <c r="LA56" i="9"/>
  <c r="LB56" i="9" s="1"/>
  <c r="FE51" i="9"/>
  <c r="FF50" i="9"/>
  <c r="BB54" i="5"/>
  <c r="BC54" i="5" s="1"/>
  <c r="S50" i="5"/>
  <c r="T49" i="5"/>
  <c r="FA51" i="9"/>
  <c r="FB50" i="9"/>
  <c r="AI49" i="5"/>
  <c r="AH50" i="5"/>
  <c r="AW51" i="5"/>
  <c r="AX50" i="5"/>
  <c r="Y50" i="5"/>
  <c r="X51" i="5"/>
  <c r="AS57" i="5"/>
  <c r="AR58" i="5"/>
  <c r="KS50" i="9"/>
  <c r="KT49" i="9"/>
  <c r="A518" i="9" s="1"/>
  <c r="CL52" i="9"/>
  <c r="A339" i="9" s="1"/>
  <c r="CK53" i="9"/>
  <c r="DF50" i="9"/>
  <c r="DE51" i="9"/>
  <c r="BR52" i="9"/>
  <c r="BQ53" i="9"/>
  <c r="DY51" i="9"/>
  <c r="DZ50" i="9"/>
  <c r="CW51" i="9"/>
  <c r="CX50" i="9"/>
  <c r="E50" i="5"/>
  <c r="D51" i="5"/>
  <c r="JB50" i="9"/>
  <c r="A456" i="9" s="1"/>
  <c r="JA51" i="9"/>
  <c r="AM65" i="5"/>
  <c r="AN64" i="5"/>
  <c r="A64" i="5" s="1"/>
  <c r="BN51" i="9"/>
  <c r="A317" i="9" s="1"/>
  <c r="BM52" i="9"/>
  <c r="AC57" i="5"/>
  <c r="AD56" i="5"/>
  <c r="DV52" i="9"/>
  <c r="DU53" i="9"/>
  <c r="EP51" i="9"/>
  <c r="EO52" i="9"/>
  <c r="JV66" i="9"/>
  <c r="A494" i="9" s="1"/>
  <c r="JU67" i="9"/>
  <c r="N51" i="9"/>
  <c r="O50" i="9"/>
  <c r="A50" i="9" s="1"/>
  <c r="I56" i="5"/>
  <c r="J55" i="5"/>
  <c r="FJ53" i="9"/>
  <c r="FI54" i="9"/>
  <c r="O52" i="5"/>
  <c r="N53" i="5"/>
  <c r="KW50" i="9"/>
  <c r="KX50" i="9" s="1"/>
  <c r="KX49" i="9"/>
  <c r="LN65" i="9" l="1"/>
  <c r="LM66" i="9"/>
  <c r="LA57" i="9"/>
  <c r="LB57" i="9" s="1"/>
  <c r="FE52" i="9"/>
  <c r="FF51" i="9"/>
  <c r="BB55" i="5"/>
  <c r="BC55" i="5" s="1"/>
  <c r="BN52" i="9"/>
  <c r="A318" i="9" s="1"/>
  <c r="BM53" i="9"/>
  <c r="CL53" i="9"/>
  <c r="A340" i="9" s="1"/>
  <c r="CK54" i="9"/>
  <c r="FB51" i="9"/>
  <c r="FA52" i="9"/>
  <c r="DV53" i="9"/>
  <c r="DU54" i="9"/>
  <c r="JB51" i="9"/>
  <c r="A457" i="9" s="1"/>
  <c r="JA52" i="9"/>
  <c r="BR53" i="9"/>
  <c r="BQ54" i="9"/>
  <c r="AR59" i="5"/>
  <c r="AS58" i="5"/>
  <c r="O51" i="9"/>
  <c r="A51" i="9" s="1"/>
  <c r="N52" i="9"/>
  <c r="AW52" i="5"/>
  <c r="AX51" i="5"/>
  <c r="EO53" i="9"/>
  <c r="EP52" i="9"/>
  <c r="D52" i="5"/>
  <c r="E51" i="5"/>
  <c r="DF51" i="9"/>
  <c r="DE52" i="9"/>
  <c r="X52" i="5"/>
  <c r="Y51" i="5"/>
  <c r="AI50" i="5"/>
  <c r="AH51" i="5"/>
  <c r="FJ54" i="9"/>
  <c r="FI55" i="9"/>
  <c r="CW52" i="9"/>
  <c r="CX51" i="9"/>
  <c r="N54" i="5"/>
  <c r="O53" i="5"/>
  <c r="JV67" i="9"/>
  <c r="A495" i="9" s="1"/>
  <c r="JU68" i="9"/>
  <c r="J56" i="5"/>
  <c r="I57" i="5"/>
  <c r="AD57" i="5"/>
  <c r="AC58" i="5"/>
  <c r="AM66" i="5"/>
  <c r="AN65" i="5"/>
  <c r="A65" i="5" s="1"/>
  <c r="DY52" i="9"/>
  <c r="DZ51" i="9"/>
  <c r="KS51" i="9"/>
  <c r="KT50" i="9"/>
  <c r="A519" i="9" s="1"/>
  <c r="S51" i="5"/>
  <c r="T50" i="5"/>
  <c r="LM67" i="9" l="1"/>
  <c r="LN66" i="9"/>
  <c r="FE53" i="9"/>
  <c r="FF52" i="9"/>
  <c r="LA58" i="9"/>
  <c r="LB58" i="9" s="1"/>
  <c r="BB56" i="5"/>
  <c r="BC56" i="5" s="1"/>
  <c r="I58" i="5"/>
  <c r="J57" i="5"/>
  <c r="FI56" i="9"/>
  <c r="FJ55" i="9"/>
  <c r="JA53" i="9"/>
  <c r="JB52" i="9"/>
  <c r="A458" i="9" s="1"/>
  <c r="FB52" i="9"/>
  <c r="FA53" i="9"/>
  <c r="AM67" i="5"/>
  <c r="AN66" i="5"/>
  <c r="A66" i="5" s="1"/>
  <c r="N55" i="5"/>
  <c r="O54" i="5"/>
  <c r="X53" i="5"/>
  <c r="Y52" i="5"/>
  <c r="E52" i="5"/>
  <c r="D53" i="5"/>
  <c r="AX52" i="5"/>
  <c r="AW53" i="5"/>
  <c r="AR60" i="5"/>
  <c r="AS59" i="5"/>
  <c r="O52" i="9"/>
  <c r="A52" i="9" s="1"/>
  <c r="N53" i="9"/>
  <c r="BQ55" i="9"/>
  <c r="BR54" i="9"/>
  <c r="A327" i="9" s="1"/>
  <c r="DV54" i="9"/>
  <c r="A362" i="9" s="1"/>
  <c r="DU55" i="9"/>
  <c r="BN53" i="9"/>
  <c r="A319" i="9" s="1"/>
  <c r="BM54" i="9"/>
  <c r="CL54" i="9"/>
  <c r="A341" i="9" s="1"/>
  <c r="CK55" i="9"/>
  <c r="KT51" i="9"/>
  <c r="A520" i="9" s="1"/>
  <c r="KS52" i="9"/>
  <c r="AD58" i="5"/>
  <c r="AC59" i="5"/>
  <c r="JU69" i="9"/>
  <c r="JV68" i="9"/>
  <c r="A496" i="9" s="1"/>
  <c r="AI51" i="5"/>
  <c r="AH52" i="5"/>
  <c r="DF52" i="9"/>
  <c r="DE53" i="9"/>
  <c r="T51" i="5"/>
  <c r="S52" i="5"/>
  <c r="DY53" i="9"/>
  <c r="DZ52" i="9"/>
  <c r="CW53" i="9"/>
  <c r="CX52" i="9"/>
  <c r="EO54" i="9"/>
  <c r="EP53" i="9"/>
  <c r="LN67" i="9" l="1"/>
  <c r="LM68" i="9"/>
  <c r="LA59" i="9"/>
  <c r="LB59" i="9" s="1"/>
  <c r="FE54" i="9"/>
  <c r="FF53" i="9"/>
  <c r="BB57" i="5"/>
  <c r="BC57" i="5" s="1"/>
  <c r="KS53" i="9"/>
  <c r="KT52" i="9"/>
  <c r="A521" i="9" s="1"/>
  <c r="BN54" i="9"/>
  <c r="A320" i="9" s="1"/>
  <c r="BM55" i="9"/>
  <c r="BQ56" i="9"/>
  <c r="BR55" i="9"/>
  <c r="A328" i="9" s="1"/>
  <c r="AS60" i="5"/>
  <c r="AR61" i="5"/>
  <c r="N56" i="5"/>
  <c r="O55" i="5"/>
  <c r="FI57" i="9"/>
  <c r="FJ56" i="9"/>
  <c r="T52" i="5"/>
  <c r="S53" i="5"/>
  <c r="AH53" i="5"/>
  <c r="AI52" i="5"/>
  <c r="AD59" i="5"/>
  <c r="AC60" i="5"/>
  <c r="CL55" i="9"/>
  <c r="A342" i="9" s="1"/>
  <c r="CK56" i="9"/>
  <c r="DU56" i="9"/>
  <c r="DV55" i="9"/>
  <c r="A363" i="9" s="1"/>
  <c r="O53" i="9"/>
  <c r="A53" i="9" s="1"/>
  <c r="N54" i="9"/>
  <c r="AX53" i="5"/>
  <c r="AW54" i="5"/>
  <c r="DE54" i="9"/>
  <c r="DF53" i="9"/>
  <c r="D54" i="5"/>
  <c r="E53" i="5"/>
  <c r="FB53" i="9"/>
  <c r="FA54" i="9"/>
  <c r="EO55" i="9"/>
  <c r="EP54" i="9"/>
  <c r="DY54" i="9"/>
  <c r="DZ53" i="9"/>
  <c r="JV69" i="9"/>
  <c r="A497" i="9" s="1"/>
  <c r="JU70" i="9"/>
  <c r="CX53" i="9"/>
  <c r="CW54" i="9"/>
  <c r="X54" i="5"/>
  <c r="Y53" i="5"/>
  <c r="AM68" i="5"/>
  <c r="AN67" i="5"/>
  <c r="A67" i="5" s="1"/>
  <c r="JA54" i="9"/>
  <c r="JB53" i="9"/>
  <c r="A459" i="9" s="1"/>
  <c r="I59" i="5"/>
  <c r="J58" i="5"/>
  <c r="LN68" i="9" l="1"/>
  <c r="LM69" i="9"/>
  <c r="FE55" i="9"/>
  <c r="FF54" i="9"/>
  <c r="LA60" i="9"/>
  <c r="LB60" i="9" s="1"/>
  <c r="BB58" i="5"/>
  <c r="BC58" i="5" s="1"/>
  <c r="JU71" i="9"/>
  <c r="JV70" i="9"/>
  <c r="A498" i="9" s="1"/>
  <c r="AC61" i="5"/>
  <c r="AD60" i="5"/>
  <c r="S54" i="5"/>
  <c r="T53" i="5"/>
  <c r="AS61" i="5"/>
  <c r="AR62" i="5"/>
  <c r="BN55" i="9"/>
  <c r="A321" i="9" s="1"/>
  <c r="BM56" i="9"/>
  <c r="JB54" i="9"/>
  <c r="A460" i="9" s="1"/>
  <c r="JA55" i="9"/>
  <c r="Y54" i="5"/>
  <c r="X55" i="5"/>
  <c r="EP55" i="9"/>
  <c r="EO56" i="9"/>
  <c r="DU57" i="9"/>
  <c r="DV56" i="9"/>
  <c r="A364" i="9" s="1"/>
  <c r="FI58" i="9"/>
  <c r="FJ57" i="9"/>
  <c r="AX54" i="5"/>
  <c r="AW55" i="5"/>
  <c r="E54" i="5"/>
  <c r="D55" i="5"/>
  <c r="CW55" i="9"/>
  <c r="CX54" i="9"/>
  <c r="FB54" i="9"/>
  <c r="FA55" i="9"/>
  <c r="N55" i="9"/>
  <c r="O54" i="9"/>
  <c r="A54" i="9" s="1"/>
  <c r="CL56" i="9"/>
  <c r="A343" i="9" s="1"/>
  <c r="CK57" i="9"/>
  <c r="I60" i="5"/>
  <c r="J59" i="5"/>
  <c r="AM69" i="5"/>
  <c r="AN68" i="5"/>
  <c r="A68" i="5" s="1"/>
  <c r="DY55" i="9"/>
  <c r="DZ54" i="9"/>
  <c r="DF54" i="9"/>
  <c r="DE55" i="9"/>
  <c r="DF55" i="9" s="1"/>
  <c r="AI53" i="5"/>
  <c r="AH54" i="5"/>
  <c r="O56" i="5"/>
  <c r="N57" i="5"/>
  <c r="BQ57" i="9"/>
  <c r="BR56" i="9"/>
  <c r="A329" i="9" s="1"/>
  <c r="KT53" i="9"/>
  <c r="A522" i="9" s="1"/>
  <c r="KS54" i="9"/>
  <c r="LM70" i="9" l="1"/>
  <c r="LN69" i="9"/>
  <c r="JV71" i="9"/>
  <c r="A499" i="9" s="1"/>
  <c r="LA61" i="9"/>
  <c r="LB61" i="9" s="1"/>
  <c r="FF55" i="9"/>
  <c r="FE56" i="9"/>
  <c r="BB59" i="5"/>
  <c r="BC59" i="5" s="1"/>
  <c r="E55" i="5"/>
  <c r="D56" i="5"/>
  <c r="EO57" i="9"/>
  <c r="EP56" i="9"/>
  <c r="AR63" i="5"/>
  <c r="AS62" i="5"/>
  <c r="BQ58" i="9"/>
  <c r="BR57" i="9"/>
  <c r="A330" i="9" s="1"/>
  <c r="DY56" i="9"/>
  <c r="DZ55" i="9"/>
  <c r="I61" i="5"/>
  <c r="J60" i="5"/>
  <c r="AD61" i="5"/>
  <c r="AC62" i="5"/>
  <c r="CK58" i="9"/>
  <c r="CL57" i="9"/>
  <c r="A344" i="9" s="1"/>
  <c r="FJ58" i="9"/>
  <c r="FI59" i="9"/>
  <c r="KT54" i="9"/>
  <c r="A523" i="9" s="1"/>
  <c r="KS55" i="9"/>
  <c r="O57" i="5"/>
  <c r="N58" i="5"/>
  <c r="AW56" i="5"/>
  <c r="AX55" i="5"/>
  <c r="X56" i="5"/>
  <c r="Y55" i="5"/>
  <c r="BN56" i="9"/>
  <c r="A322" i="9" s="1"/>
  <c r="BM57" i="9"/>
  <c r="AH55" i="5"/>
  <c r="AI54" i="5"/>
  <c r="FB55" i="9"/>
  <c r="FA56" i="9"/>
  <c r="JB55" i="9"/>
  <c r="A461" i="9" s="1"/>
  <c r="JA56" i="9"/>
  <c r="AM70" i="5"/>
  <c r="AN69" i="5"/>
  <c r="A69" i="5" s="1"/>
  <c r="O55" i="9"/>
  <c r="A55" i="9" s="1"/>
  <c r="N56" i="9"/>
  <c r="CW56" i="9"/>
  <c r="CX56" i="9" s="1"/>
  <c r="CX55" i="9"/>
  <c r="DV57" i="9"/>
  <c r="A365" i="9" s="1"/>
  <c r="DU58" i="9"/>
  <c r="S55" i="5"/>
  <c r="T54" i="5"/>
  <c r="LM71" i="9" l="1"/>
  <c r="LN70" i="9"/>
  <c r="FF56" i="9"/>
  <c r="FE57" i="9"/>
  <c r="LA62" i="9"/>
  <c r="LB62" i="9" s="1"/>
  <c r="BB60" i="5"/>
  <c r="BC60" i="5" s="1"/>
  <c r="CL58" i="9"/>
  <c r="A345" i="9" s="1"/>
  <c r="CK59" i="9"/>
  <c r="I62" i="5"/>
  <c r="J61" i="5"/>
  <c r="BQ59" i="9"/>
  <c r="BR58" i="9"/>
  <c r="A331" i="9" s="1"/>
  <c r="EO58" i="9"/>
  <c r="EP57" i="9"/>
  <c r="DV58" i="9"/>
  <c r="A366" i="9" s="1"/>
  <c r="DU59" i="9"/>
  <c r="O56" i="9"/>
  <c r="A56" i="9" s="1"/>
  <c r="N57" i="9"/>
  <c r="JA57" i="9"/>
  <c r="JB56" i="9"/>
  <c r="A462" i="9" s="1"/>
  <c r="KS56" i="9"/>
  <c r="KT55" i="9"/>
  <c r="A524" i="9" s="1"/>
  <c r="AH56" i="5"/>
  <c r="AI55" i="5"/>
  <c r="Y56" i="5"/>
  <c r="X57" i="5"/>
  <c r="FB56" i="9"/>
  <c r="FA57" i="9"/>
  <c r="BM58" i="9"/>
  <c r="BN57" i="9"/>
  <c r="A323" i="9" s="1"/>
  <c r="N59" i="5"/>
  <c r="O58" i="5"/>
  <c r="FJ59" i="9"/>
  <c r="FI60" i="9"/>
  <c r="AD62" i="5"/>
  <c r="AC63" i="5"/>
  <c r="D57" i="5"/>
  <c r="E56" i="5"/>
  <c r="T55" i="5"/>
  <c r="S56" i="5"/>
  <c r="AM71" i="5"/>
  <c r="AN70" i="5"/>
  <c r="A70" i="5" s="1"/>
  <c r="AX56" i="5"/>
  <c r="AW57" i="5"/>
  <c r="DY57" i="9"/>
  <c r="DZ56" i="9"/>
  <c r="AS63" i="5"/>
  <c r="AR64" i="5"/>
  <c r="LN71" i="9" l="1"/>
  <c r="LM72" i="9"/>
  <c r="LA63" i="9"/>
  <c r="LB63" i="9" s="1"/>
  <c r="FF57" i="9"/>
  <c r="FE58" i="9"/>
  <c r="BB61" i="5"/>
  <c r="BC61" i="5" s="1"/>
  <c r="I63" i="5"/>
  <c r="J62" i="5"/>
  <c r="DU60" i="9"/>
  <c r="DV59" i="9"/>
  <c r="A367" i="9" s="1"/>
  <c r="CK60" i="9"/>
  <c r="CL59" i="9"/>
  <c r="A346" i="9" s="1"/>
  <c r="DY58" i="9"/>
  <c r="DZ57" i="9"/>
  <c r="AM72" i="5"/>
  <c r="AN71" i="5"/>
  <c r="A71" i="5" s="1"/>
  <c r="D58" i="5"/>
  <c r="E57" i="5"/>
  <c r="BN58" i="9"/>
  <c r="A324" i="9" s="1"/>
  <c r="BM59" i="9"/>
  <c r="AH57" i="5"/>
  <c r="AI56" i="5"/>
  <c r="JA58" i="9"/>
  <c r="JB57" i="9"/>
  <c r="A463" i="9" s="1"/>
  <c r="BR59" i="9"/>
  <c r="A332" i="9" s="1"/>
  <c r="BQ60" i="9"/>
  <c r="AS64" i="5"/>
  <c r="AR65" i="5"/>
  <c r="AX57" i="5"/>
  <c r="AW58" i="5"/>
  <c r="S57" i="5"/>
  <c r="T56" i="5"/>
  <c r="AD63" i="5"/>
  <c r="AC64" i="5"/>
  <c r="FA58" i="9"/>
  <c r="FB57" i="9"/>
  <c r="X58" i="5"/>
  <c r="Y57" i="5"/>
  <c r="O57" i="9"/>
  <c r="A57" i="9" s="1"/>
  <c r="N58" i="9"/>
  <c r="O59" i="5"/>
  <c r="N60" i="5"/>
  <c r="KS57" i="9"/>
  <c r="KT56" i="9"/>
  <c r="A525" i="9" s="1"/>
  <c r="EO59" i="9"/>
  <c r="EP58" i="9"/>
  <c r="FJ60" i="9"/>
  <c r="FI61" i="9"/>
  <c r="LN72" i="9" l="1"/>
  <c r="LM73" i="9"/>
  <c r="FF58" i="9"/>
  <c r="FE59" i="9"/>
  <c r="LA64" i="9"/>
  <c r="LB64" i="9" s="1"/>
  <c r="BB62" i="5"/>
  <c r="BC62" i="5" s="1"/>
  <c r="O58" i="9"/>
  <c r="A58" i="9" s="1"/>
  <c r="N59" i="9"/>
  <c r="AR66" i="5"/>
  <c r="AS65" i="5"/>
  <c r="KT57" i="9"/>
  <c r="A526" i="9" s="1"/>
  <c r="KS58" i="9"/>
  <c r="FB58" i="9"/>
  <c r="FA59" i="9"/>
  <c r="S58" i="5"/>
  <c r="T57" i="5"/>
  <c r="JA59" i="9"/>
  <c r="JB58" i="9"/>
  <c r="A464" i="9" s="1"/>
  <c r="AN72" i="5"/>
  <c r="A72" i="5" s="1"/>
  <c r="AM73" i="5"/>
  <c r="AX58" i="5"/>
  <c r="AW59" i="5"/>
  <c r="BQ61" i="9"/>
  <c r="BR60" i="9"/>
  <c r="A333" i="9" s="1"/>
  <c r="FI62" i="9"/>
  <c r="FJ61" i="9"/>
  <c r="BM60" i="9"/>
  <c r="BN60" i="9" s="1"/>
  <c r="A326" i="9" s="1"/>
  <c r="BN59" i="9"/>
  <c r="A325" i="9" s="1"/>
  <c r="CK61" i="9"/>
  <c r="CL60" i="9"/>
  <c r="A347" i="9" s="1"/>
  <c r="N61" i="5"/>
  <c r="O60" i="5"/>
  <c r="AC65" i="5"/>
  <c r="AD64" i="5"/>
  <c r="EO60" i="9"/>
  <c r="EP59" i="9"/>
  <c r="Y58" i="5"/>
  <c r="X59" i="5"/>
  <c r="AH58" i="5"/>
  <c r="AI57" i="5"/>
  <c r="E58" i="5"/>
  <c r="D59" i="5"/>
  <c r="DZ58" i="9"/>
  <c r="DY59" i="9"/>
  <c r="DU61" i="9"/>
  <c r="DV60" i="9"/>
  <c r="A368" i="9" s="1"/>
  <c r="I64" i="5"/>
  <c r="J63" i="5"/>
  <c r="LN73" i="9" l="1"/>
  <c r="LM74" i="9"/>
  <c r="LA65" i="9"/>
  <c r="LB65" i="9" s="1"/>
  <c r="FE60" i="9"/>
  <c r="FF59" i="9"/>
  <c r="BB63" i="5"/>
  <c r="BC63" i="5" s="1"/>
  <c r="DY60" i="9"/>
  <c r="DZ59" i="9"/>
  <c r="AM74" i="5"/>
  <c r="AN73" i="5"/>
  <c r="A73" i="5" s="1"/>
  <c r="I65" i="5"/>
  <c r="J64" i="5"/>
  <c r="AI58" i="5"/>
  <c r="AH59" i="5"/>
  <c r="EO61" i="9"/>
  <c r="EP60" i="9"/>
  <c r="O61" i="5"/>
  <c r="N62" i="5"/>
  <c r="AR67" i="5"/>
  <c r="AS66" i="5"/>
  <c r="D60" i="5"/>
  <c r="E59" i="5"/>
  <c r="Y59" i="5"/>
  <c r="X60" i="5"/>
  <c r="FA60" i="9"/>
  <c r="FB59" i="9"/>
  <c r="O59" i="9"/>
  <c r="A59" i="9" s="1"/>
  <c r="N60" i="9"/>
  <c r="KT58" i="9"/>
  <c r="A527" i="9" s="1"/>
  <c r="KS59" i="9"/>
  <c r="KT59" i="9" s="1"/>
  <c r="A528" i="9" s="1"/>
  <c r="BQ62" i="9"/>
  <c r="BR61" i="9"/>
  <c r="A334" i="9" s="1"/>
  <c r="S59" i="5"/>
  <c r="T58" i="5"/>
  <c r="AX59" i="5"/>
  <c r="AW60" i="5"/>
  <c r="DV61" i="9"/>
  <c r="A369" i="9" s="1"/>
  <c r="DU62" i="9"/>
  <c r="AD65" i="5"/>
  <c r="AC66" i="5"/>
  <c r="CL61" i="9"/>
  <c r="A348" i="9" s="1"/>
  <c r="CK62" i="9"/>
  <c r="FJ62" i="9"/>
  <c r="FI63" i="9"/>
  <c r="JA60" i="9"/>
  <c r="JB59" i="9"/>
  <c r="A465" i="9" s="1"/>
  <c r="C234" i="10" l="1"/>
  <c r="K159" i="10"/>
  <c r="LN74" i="9"/>
  <c r="LM75" i="9"/>
  <c r="LN75" i="9" s="1"/>
  <c r="FE61" i="9"/>
  <c r="FF60" i="9"/>
  <c r="LA66" i="9"/>
  <c r="LB66" i="9" s="1"/>
  <c r="BB64" i="5"/>
  <c r="BC64" i="5" s="1"/>
  <c r="D61" i="5"/>
  <c r="E60" i="5"/>
  <c r="CK63" i="9"/>
  <c r="CL62" i="9"/>
  <c r="A349" i="9" s="1"/>
  <c r="DV62" i="9"/>
  <c r="A370" i="9" s="1"/>
  <c r="DU63" i="9"/>
  <c r="Y60" i="5"/>
  <c r="X61" i="5"/>
  <c r="FJ63" i="9"/>
  <c r="FI64" i="9"/>
  <c r="AC67" i="5"/>
  <c r="AD66" i="5"/>
  <c r="AX60" i="5"/>
  <c r="AW61" i="5"/>
  <c r="N61" i="9"/>
  <c r="O60" i="9"/>
  <c r="A60" i="9" s="1"/>
  <c r="N63" i="5"/>
  <c r="O62" i="5"/>
  <c r="AH60" i="5"/>
  <c r="AI59" i="5"/>
  <c r="BQ63" i="9"/>
  <c r="BR62" i="9"/>
  <c r="A335" i="9" s="1"/>
  <c r="FB60" i="9"/>
  <c r="FA61" i="9"/>
  <c r="AN74" i="5"/>
  <c r="A74" i="5" s="1"/>
  <c r="AM75" i="5"/>
  <c r="JA61" i="9"/>
  <c r="JB60" i="9"/>
  <c r="A466" i="9" s="1"/>
  <c r="T59" i="5"/>
  <c r="S60" i="5"/>
  <c r="AS67" i="5"/>
  <c r="AR68" i="5"/>
  <c r="EO62" i="9"/>
  <c r="EP61" i="9"/>
  <c r="I66" i="5"/>
  <c r="J65" i="5"/>
  <c r="DY61" i="9"/>
  <c r="DZ60" i="9"/>
  <c r="C235" i="10" l="1"/>
  <c r="LA67" i="9"/>
  <c r="LB67" i="9" s="1"/>
  <c r="FF61" i="9"/>
  <c r="FE62" i="9"/>
  <c r="BB65" i="5"/>
  <c r="BC65" i="5" s="1"/>
  <c r="FB61" i="9"/>
  <c r="FA62" i="9"/>
  <c r="X62" i="5"/>
  <c r="Y61" i="5"/>
  <c r="EO63" i="9"/>
  <c r="EP62" i="9"/>
  <c r="AH61" i="5"/>
  <c r="AI60" i="5"/>
  <c r="AD67" i="5"/>
  <c r="AC68" i="5"/>
  <c r="CL63" i="9"/>
  <c r="A350" i="9" s="1"/>
  <c r="CK64" i="9"/>
  <c r="AS68" i="5"/>
  <c r="AR69" i="5"/>
  <c r="T60" i="5"/>
  <c r="S61" i="5"/>
  <c r="AM76" i="5"/>
  <c r="AN75" i="5"/>
  <c r="A75" i="5" s="1"/>
  <c r="AW62" i="5"/>
  <c r="AX61" i="5"/>
  <c r="FJ64" i="9"/>
  <c r="FI65" i="9"/>
  <c r="DU64" i="9"/>
  <c r="DV63" i="9"/>
  <c r="A371" i="9" s="1"/>
  <c r="DY62" i="9"/>
  <c r="DZ61" i="9"/>
  <c r="JB61" i="9"/>
  <c r="A467" i="9" s="1"/>
  <c r="JA62" i="9"/>
  <c r="N62" i="9"/>
  <c r="O61" i="9"/>
  <c r="A61" i="9" s="1"/>
  <c r="I67" i="5"/>
  <c r="J66" i="5"/>
  <c r="BQ64" i="9"/>
  <c r="BR63" i="9"/>
  <c r="A336" i="9" s="1"/>
  <c r="N64" i="5"/>
  <c r="O63" i="5"/>
  <c r="E61" i="5"/>
  <c r="D62" i="5"/>
  <c r="C236" i="10" l="1"/>
  <c r="F235" i="10" s="1"/>
  <c r="FE63" i="9"/>
  <c r="FF62" i="9"/>
  <c r="LA68" i="9"/>
  <c r="LB68" i="9" s="1"/>
  <c r="BB66" i="5"/>
  <c r="BC66" i="5" s="1"/>
  <c r="S62" i="5"/>
  <c r="T61" i="5"/>
  <c r="AX62" i="5"/>
  <c r="AW63" i="5"/>
  <c r="AI61" i="5"/>
  <c r="AH62" i="5"/>
  <c r="AI62" i="5" s="1"/>
  <c r="Y62" i="5"/>
  <c r="X63" i="5"/>
  <c r="E62" i="5"/>
  <c r="D63" i="5"/>
  <c r="CK65" i="9"/>
  <c r="CL64" i="9"/>
  <c r="A351" i="9" s="1"/>
  <c r="BR64" i="9"/>
  <c r="A337" i="9" s="1"/>
  <c r="BQ65" i="9"/>
  <c r="BR65" i="9" s="1"/>
  <c r="A338" i="9" s="1"/>
  <c r="O62" i="9"/>
  <c r="A62" i="9" s="1"/>
  <c r="N63" i="9"/>
  <c r="DU65" i="9"/>
  <c r="DV64" i="9"/>
  <c r="A372" i="9" s="1"/>
  <c r="JA63" i="9"/>
  <c r="JB62" i="9"/>
  <c r="A468" i="9" s="1"/>
  <c r="FI66" i="9"/>
  <c r="FJ65" i="9"/>
  <c r="AR70" i="5"/>
  <c r="AS69" i="5"/>
  <c r="AD68" i="5"/>
  <c r="AC69" i="5"/>
  <c r="FB62" i="9"/>
  <c r="FA63" i="9"/>
  <c r="O64" i="5"/>
  <c r="N65" i="5"/>
  <c r="I68" i="5"/>
  <c r="J67" i="5"/>
  <c r="DZ62" i="9"/>
  <c r="DY63" i="9"/>
  <c r="AM77" i="5"/>
  <c r="AN76" i="5"/>
  <c r="A76" i="5" s="1"/>
  <c r="EO64" i="9"/>
  <c r="EP63" i="9"/>
  <c r="K235" i="10" l="1"/>
  <c r="C246" i="10"/>
  <c r="C247" i="10" s="1"/>
  <c r="C248" i="10" s="1"/>
  <c r="LA69" i="9"/>
  <c r="LB69" i="9" s="1"/>
  <c r="FE64" i="9"/>
  <c r="FF63" i="9"/>
  <c r="BB67" i="5"/>
  <c r="BC67" i="5" s="1"/>
  <c r="Y63" i="5"/>
  <c r="X64" i="5"/>
  <c r="AW64" i="5"/>
  <c r="AX63" i="5"/>
  <c r="EO65" i="9"/>
  <c r="EP64" i="9"/>
  <c r="FI67" i="9"/>
  <c r="FJ66" i="9"/>
  <c r="DV65" i="9"/>
  <c r="A373" i="9" s="1"/>
  <c r="DU66" i="9"/>
  <c r="FA64" i="9"/>
  <c r="FB63" i="9"/>
  <c r="E63" i="5"/>
  <c r="D64" i="5"/>
  <c r="DY64" i="9"/>
  <c r="DZ63" i="9"/>
  <c r="O65" i="5"/>
  <c r="N66" i="5"/>
  <c r="AD69" i="5"/>
  <c r="AC70" i="5"/>
  <c r="N64" i="9"/>
  <c r="O63" i="9"/>
  <c r="A63" i="9" s="1"/>
  <c r="AM78" i="5"/>
  <c r="AN77" i="5"/>
  <c r="A77" i="5" s="1"/>
  <c r="I69" i="5"/>
  <c r="J68" i="5"/>
  <c r="AR71" i="5"/>
  <c r="AS70" i="5"/>
  <c r="JB63" i="9"/>
  <c r="A469" i="9" s="1"/>
  <c r="JA64" i="9"/>
  <c r="CL65" i="9"/>
  <c r="A352" i="9" s="1"/>
  <c r="CK66" i="9"/>
  <c r="S63" i="5"/>
  <c r="T62" i="5"/>
  <c r="FE65" i="9" l="1"/>
  <c r="FF64" i="9"/>
  <c r="LA70" i="9"/>
  <c r="LB70" i="9" s="1"/>
  <c r="BB68" i="5"/>
  <c r="BC68" i="5" s="1"/>
  <c r="I70" i="5"/>
  <c r="J69" i="5"/>
  <c r="N65" i="9"/>
  <c r="O64" i="9"/>
  <c r="A64" i="9" s="1"/>
  <c r="FJ67" i="9"/>
  <c r="FI68" i="9"/>
  <c r="AW65" i="5"/>
  <c r="AX64" i="5"/>
  <c r="AR72" i="5"/>
  <c r="AS71" i="5"/>
  <c r="AM79" i="5"/>
  <c r="AN78" i="5"/>
  <c r="A78" i="5" s="1"/>
  <c r="DY65" i="9"/>
  <c r="DZ64" i="9"/>
  <c r="FB64" i="9"/>
  <c r="FA65" i="9"/>
  <c r="JB64" i="9"/>
  <c r="A470" i="9" s="1"/>
  <c r="JA65" i="9"/>
  <c r="N67" i="5"/>
  <c r="O66" i="5"/>
  <c r="D65" i="5"/>
  <c r="E64" i="5"/>
  <c r="T63" i="5"/>
  <c r="S64" i="5"/>
  <c r="CK67" i="9"/>
  <c r="CL66" i="9"/>
  <c r="A353" i="9" s="1"/>
  <c r="AD70" i="5"/>
  <c r="AC71" i="5"/>
  <c r="DV66" i="9"/>
  <c r="A374" i="9" s="1"/>
  <c r="DU67" i="9"/>
  <c r="Y64" i="5"/>
  <c r="X65" i="5"/>
  <c r="EO66" i="9"/>
  <c r="EP65" i="9"/>
  <c r="LA71" i="9" l="1"/>
  <c r="LB71" i="9" s="1"/>
  <c r="FE66" i="9"/>
  <c r="FF65" i="9"/>
  <c r="BB69" i="5"/>
  <c r="BC69" i="5" s="1"/>
  <c r="CL67" i="9"/>
  <c r="A354" i="9" s="1"/>
  <c r="CK68" i="9"/>
  <c r="N68" i="5"/>
  <c r="O67" i="5"/>
  <c r="AM80" i="5"/>
  <c r="AN79" i="5"/>
  <c r="A79" i="5" s="1"/>
  <c r="AX65" i="5"/>
  <c r="AW66" i="5"/>
  <c r="N66" i="9"/>
  <c r="O65" i="9"/>
  <c r="A65" i="9" s="1"/>
  <c r="DU68" i="9"/>
  <c r="DV67" i="9"/>
  <c r="A375" i="9" s="1"/>
  <c r="FA66" i="9"/>
  <c r="FB65" i="9"/>
  <c r="EO67" i="9"/>
  <c r="EP66" i="9"/>
  <c r="Y65" i="5"/>
  <c r="X66" i="5"/>
  <c r="AC72" i="5"/>
  <c r="AD71" i="5"/>
  <c r="T64" i="5"/>
  <c r="S65" i="5"/>
  <c r="JB65" i="9"/>
  <c r="A471" i="9" s="1"/>
  <c r="JA66" i="9"/>
  <c r="JB66" i="9" s="1"/>
  <c r="A472" i="9" s="1"/>
  <c r="FI69" i="9"/>
  <c r="FJ68" i="9"/>
  <c r="E65" i="5"/>
  <c r="D66" i="5"/>
  <c r="DY66" i="9"/>
  <c r="DZ65" i="9"/>
  <c r="AS72" i="5"/>
  <c r="AR73" i="5"/>
  <c r="I71" i="5"/>
  <c r="J70" i="5"/>
  <c r="FF66" i="9" l="1"/>
  <c r="FE67" i="9"/>
  <c r="LA72" i="9"/>
  <c r="LB72" i="9" s="1"/>
  <c r="BB70" i="5"/>
  <c r="BC70" i="5" s="1"/>
  <c r="EO68" i="9"/>
  <c r="EP67" i="9"/>
  <c r="S66" i="5"/>
  <c r="T65" i="5"/>
  <c r="Y66" i="5"/>
  <c r="X67" i="5"/>
  <c r="I72" i="5"/>
  <c r="J71" i="5"/>
  <c r="DY67" i="9"/>
  <c r="DZ66" i="9"/>
  <c r="FJ69" i="9"/>
  <c r="FI70" i="9"/>
  <c r="FB66" i="9"/>
  <c r="FA67" i="9"/>
  <c r="O66" i="9"/>
  <c r="A66" i="9" s="1"/>
  <c r="N67" i="9"/>
  <c r="AN80" i="5"/>
  <c r="A80" i="5" s="1"/>
  <c r="AM81" i="5"/>
  <c r="AX66" i="5"/>
  <c r="AW67" i="5"/>
  <c r="CK69" i="9"/>
  <c r="CL68" i="9"/>
  <c r="A355" i="9" s="1"/>
  <c r="AS73" i="5"/>
  <c r="AR74" i="5"/>
  <c r="E66" i="5"/>
  <c r="D67" i="5"/>
  <c r="AC73" i="5"/>
  <c r="AD72" i="5"/>
  <c r="DU69" i="9"/>
  <c r="DV68" i="9"/>
  <c r="A376" i="9" s="1"/>
  <c r="N69" i="5"/>
  <c r="O68" i="5"/>
  <c r="LA73" i="9" l="1"/>
  <c r="LB73" i="9" s="1"/>
  <c r="FF67" i="9"/>
  <c r="FE68" i="9"/>
  <c r="BB71" i="5"/>
  <c r="BC71" i="5" s="1"/>
  <c r="AC74" i="5"/>
  <c r="AD73" i="5"/>
  <c r="I73" i="5"/>
  <c r="J72" i="5"/>
  <c r="D68" i="5"/>
  <c r="E67" i="5"/>
  <c r="AN81" i="5"/>
  <c r="A81" i="5" s="1"/>
  <c r="AM82" i="5"/>
  <c r="FA68" i="9"/>
  <c r="FB67" i="9"/>
  <c r="DU70" i="9"/>
  <c r="DV69" i="9"/>
  <c r="A377" i="9" s="1"/>
  <c r="CK70" i="9"/>
  <c r="CL69" i="9"/>
  <c r="A356" i="9" s="1"/>
  <c r="DZ67" i="9"/>
  <c r="DY68" i="9"/>
  <c r="S67" i="5"/>
  <c r="T66" i="5"/>
  <c r="N70" i="5"/>
  <c r="O69" i="5"/>
  <c r="EO69" i="9"/>
  <c r="EP68" i="9"/>
  <c r="AR75" i="5"/>
  <c r="AS74" i="5"/>
  <c r="AX67" i="5"/>
  <c r="AW68" i="5"/>
  <c r="N68" i="9"/>
  <c r="O67" i="9"/>
  <c r="A67" i="9" s="1"/>
  <c r="FI71" i="9"/>
  <c r="FJ70" i="9"/>
  <c r="X68" i="5"/>
  <c r="Y67" i="5"/>
  <c r="FE69" i="9" l="1"/>
  <c r="FF68" i="9"/>
  <c r="LA74" i="9"/>
  <c r="LB74" i="9" s="1"/>
  <c r="BB72" i="5"/>
  <c r="BC72" i="5" s="1"/>
  <c r="AX68" i="5"/>
  <c r="AW69" i="5"/>
  <c r="DY69" i="9"/>
  <c r="DZ68" i="9"/>
  <c r="AM83" i="5"/>
  <c r="AN82" i="5"/>
  <c r="A82" i="5" s="1"/>
  <c r="FJ71" i="9"/>
  <c r="FI72" i="9"/>
  <c r="EO70" i="9"/>
  <c r="EP69" i="9"/>
  <c r="S68" i="5"/>
  <c r="T67" i="5"/>
  <c r="DV70" i="9"/>
  <c r="A378" i="9" s="1"/>
  <c r="DU71" i="9"/>
  <c r="J73" i="5"/>
  <c r="I74" i="5"/>
  <c r="Y68" i="5"/>
  <c r="X69" i="5"/>
  <c r="N69" i="9"/>
  <c r="O68" i="9"/>
  <c r="A68" i="9" s="1"/>
  <c r="AR76" i="5"/>
  <c r="AS75" i="5"/>
  <c r="N71" i="5"/>
  <c r="O70" i="5"/>
  <c r="CL70" i="9"/>
  <c r="A357" i="9" s="1"/>
  <c r="CK71" i="9"/>
  <c r="FB68" i="9"/>
  <c r="FA69" i="9"/>
  <c r="D69" i="5"/>
  <c r="E68" i="5"/>
  <c r="AD74" i="5"/>
  <c r="AC75" i="5"/>
  <c r="LA75" i="9" l="1"/>
  <c r="LB75" i="9" s="1"/>
  <c r="FF69" i="9"/>
  <c r="FE70" i="9"/>
  <c r="BB73" i="5"/>
  <c r="BC73" i="5" s="1"/>
  <c r="CK72" i="9"/>
  <c r="CL71" i="9"/>
  <c r="A358" i="9" s="1"/>
  <c r="AR77" i="5"/>
  <c r="AS76" i="5"/>
  <c r="S69" i="5"/>
  <c r="T68" i="5"/>
  <c r="DZ69" i="9"/>
  <c r="DY70" i="9"/>
  <c r="I75" i="5"/>
  <c r="J74" i="5"/>
  <c r="FI73" i="9"/>
  <c r="FJ72" i="9"/>
  <c r="D70" i="5"/>
  <c r="E69" i="5"/>
  <c r="AC76" i="5"/>
  <c r="AD75" i="5"/>
  <c r="FA70" i="9"/>
  <c r="FB69" i="9"/>
  <c r="DU72" i="9"/>
  <c r="DV71" i="9"/>
  <c r="A379" i="9" s="1"/>
  <c r="AX69" i="5"/>
  <c r="AW70" i="5"/>
  <c r="Y69" i="5"/>
  <c r="X70" i="5"/>
  <c r="O71" i="5"/>
  <c r="N72" i="5"/>
  <c r="O69" i="9"/>
  <c r="A69" i="9" s="1"/>
  <c r="N70" i="9"/>
  <c r="EO71" i="9"/>
  <c r="EP70" i="9"/>
  <c r="AM84" i="5"/>
  <c r="AN83" i="5"/>
  <c r="A83" i="5" s="1"/>
  <c r="FF70" i="9" l="1"/>
  <c r="FE71" i="9"/>
  <c r="LA76" i="9"/>
  <c r="LB76" i="9" s="1"/>
  <c r="BB74" i="5"/>
  <c r="BC74" i="5" s="1"/>
  <c r="DY71" i="9"/>
  <c r="DZ70" i="9"/>
  <c r="DV72" i="9"/>
  <c r="A380" i="9" s="1"/>
  <c r="DU73" i="9"/>
  <c r="N71" i="9"/>
  <c r="O70" i="9"/>
  <c r="A70" i="9" s="1"/>
  <c r="Y70" i="5"/>
  <c r="X71" i="5"/>
  <c r="EO72" i="9"/>
  <c r="EP71" i="9"/>
  <c r="AC77" i="5"/>
  <c r="AD76" i="5"/>
  <c r="FJ73" i="9"/>
  <c r="FI74" i="9"/>
  <c r="O72" i="5"/>
  <c r="N73" i="5"/>
  <c r="AW71" i="5"/>
  <c r="AX70" i="5"/>
  <c r="AN84" i="5"/>
  <c r="A84" i="5" s="1"/>
  <c r="AM85" i="5"/>
  <c r="FB70" i="9"/>
  <c r="FA71" i="9"/>
  <c r="E70" i="5"/>
  <c r="D71" i="5"/>
  <c r="I76" i="5"/>
  <c r="J75" i="5"/>
  <c r="S70" i="5"/>
  <c r="T69" i="5"/>
  <c r="CL72" i="9"/>
  <c r="A359" i="9" s="1"/>
  <c r="CK73" i="9"/>
  <c r="LA77" i="9" l="1"/>
  <c r="LB77" i="9" s="1"/>
  <c r="FE72" i="9"/>
  <c r="FF71" i="9"/>
  <c r="BB75" i="5"/>
  <c r="BC75" i="5" s="1"/>
  <c r="CL73" i="9"/>
  <c r="A360" i="9" s="1"/>
  <c r="CK74" i="9"/>
  <c r="CL74" i="9" s="1"/>
  <c r="A361" i="9" s="1"/>
  <c r="FB71" i="9"/>
  <c r="FA72" i="9"/>
  <c r="X72" i="5"/>
  <c r="Y71" i="5"/>
  <c r="DU74" i="9"/>
  <c r="DV73" i="9"/>
  <c r="A381" i="9" s="1"/>
  <c r="D72" i="5"/>
  <c r="E71" i="5"/>
  <c r="AN85" i="5"/>
  <c r="A85" i="5" s="1"/>
  <c r="C13" i="6" s="1"/>
  <c r="C22" i="6" s="1"/>
  <c r="AM86" i="5"/>
  <c r="O73" i="5"/>
  <c r="N74" i="5"/>
  <c r="FI75" i="9"/>
  <c r="FJ74" i="9"/>
  <c r="I77" i="5"/>
  <c r="J76" i="5"/>
  <c r="AX71" i="5"/>
  <c r="AW72" i="5"/>
  <c r="AD77" i="5"/>
  <c r="AC78" i="5"/>
  <c r="S71" i="5"/>
  <c r="T70" i="5"/>
  <c r="EO73" i="9"/>
  <c r="EP72" i="9"/>
  <c r="O71" i="9"/>
  <c r="A71" i="9" s="1"/>
  <c r="N72" i="9"/>
  <c r="DY72" i="9"/>
  <c r="DZ71" i="9"/>
  <c r="F13" i="6" l="1"/>
  <c r="C23" i="6"/>
  <c r="C24" i="6" s="1"/>
  <c r="FE73" i="9"/>
  <c r="FF72" i="9"/>
  <c r="LA78" i="9"/>
  <c r="LB78" i="9" s="1"/>
  <c r="BB76" i="5"/>
  <c r="BC76" i="5" s="1"/>
  <c r="DY73" i="9"/>
  <c r="DZ72" i="9"/>
  <c r="FJ75" i="9"/>
  <c r="FI76" i="9"/>
  <c r="FJ76" i="9" s="1"/>
  <c r="DU75" i="9"/>
  <c r="DV74" i="9"/>
  <c r="A382" i="9" s="1"/>
  <c r="O72" i="9"/>
  <c r="A72" i="9" s="1"/>
  <c r="N73" i="9"/>
  <c r="N75" i="5"/>
  <c r="O74" i="5"/>
  <c r="AD78" i="5"/>
  <c r="AC79" i="5"/>
  <c r="AW73" i="5"/>
  <c r="AX72" i="5"/>
  <c r="AM87" i="5"/>
  <c r="AN86" i="5"/>
  <c r="A86" i="5" s="1"/>
  <c r="FB72" i="9"/>
  <c r="FA73" i="9"/>
  <c r="EO74" i="9"/>
  <c r="EP73" i="9"/>
  <c r="T71" i="5"/>
  <c r="S72" i="5"/>
  <c r="I78" i="5"/>
  <c r="J77" i="5"/>
  <c r="D73" i="5"/>
  <c r="E73" i="5" s="1"/>
  <c r="E72" i="5"/>
  <c r="Y72" i="5"/>
  <c r="X73" i="5"/>
  <c r="Y73" i="5" s="1"/>
  <c r="C25" i="6" l="1"/>
  <c r="C34" i="6" s="1"/>
  <c r="C35" i="6" s="1"/>
  <c r="C36" i="6" s="1"/>
  <c r="LA79" i="9"/>
  <c r="LB79" i="9" s="1"/>
  <c r="FF73" i="9"/>
  <c r="FE74" i="9"/>
  <c r="BB77" i="5"/>
  <c r="BC77" i="5" s="1"/>
  <c r="FA74" i="9"/>
  <c r="FB73" i="9"/>
  <c r="T72" i="5"/>
  <c r="S73" i="5"/>
  <c r="N74" i="9"/>
  <c r="O73" i="9"/>
  <c r="A73" i="9" s="1"/>
  <c r="AW74" i="5"/>
  <c r="AX73" i="5"/>
  <c r="N76" i="5"/>
  <c r="O75" i="5"/>
  <c r="AD79" i="5"/>
  <c r="AC80" i="5"/>
  <c r="I79" i="5"/>
  <c r="J78" i="5"/>
  <c r="EO75" i="9"/>
  <c r="EP74" i="9"/>
  <c r="AM88" i="5"/>
  <c r="AN87" i="5"/>
  <c r="A87" i="5" s="1"/>
  <c r="DV75" i="9"/>
  <c r="A383" i="9" s="1"/>
  <c r="DU76" i="9"/>
  <c r="DY74" i="9"/>
  <c r="DZ73" i="9"/>
  <c r="H24" i="6" l="1"/>
  <c r="F25" i="6"/>
  <c r="H25" i="6" s="1"/>
  <c r="C37" i="6"/>
  <c r="FF74" i="9"/>
  <c r="FE75" i="9"/>
  <c r="LA80" i="9"/>
  <c r="LB80" i="9" s="1"/>
  <c r="BB78" i="5"/>
  <c r="BC78" i="5" s="1"/>
  <c r="AC81" i="5"/>
  <c r="AD80" i="5"/>
  <c r="S74" i="5"/>
  <c r="T73" i="5"/>
  <c r="DY75" i="9"/>
  <c r="DZ74" i="9"/>
  <c r="AN88" i="5"/>
  <c r="A88" i="5" s="1"/>
  <c r="AM89" i="5"/>
  <c r="I80" i="5"/>
  <c r="J79" i="5"/>
  <c r="AW75" i="5"/>
  <c r="AX74" i="5"/>
  <c r="DU77" i="9"/>
  <c r="DV76" i="9"/>
  <c r="A384" i="9" s="1"/>
  <c r="EO76" i="9"/>
  <c r="EP75" i="9"/>
  <c r="N77" i="5"/>
  <c r="O76" i="5"/>
  <c r="N75" i="9"/>
  <c r="O74" i="9"/>
  <c r="A74" i="9" s="1"/>
  <c r="FB74" i="9"/>
  <c r="FA75" i="9"/>
  <c r="C45" i="6" l="1"/>
  <c r="C46" i="6" s="1"/>
  <c r="C47" i="6" s="1"/>
  <c r="C48" i="6" s="1"/>
  <c r="H36" i="6"/>
  <c r="H37" i="6"/>
  <c r="FF75" i="9"/>
  <c r="FE76" i="9"/>
  <c r="LA81" i="9"/>
  <c r="LB81" i="9" s="1"/>
  <c r="BB79" i="5"/>
  <c r="BC79" i="5" s="1"/>
  <c r="FB75" i="9"/>
  <c r="FA76" i="9"/>
  <c r="AM90" i="5"/>
  <c r="AN89" i="5"/>
  <c r="A89" i="5" s="1"/>
  <c r="N78" i="5"/>
  <c r="O77" i="5"/>
  <c r="AX75" i="5"/>
  <c r="AW76" i="5"/>
  <c r="S75" i="5"/>
  <c r="T74" i="5"/>
  <c r="N76" i="9"/>
  <c r="O75" i="9"/>
  <c r="A75" i="9" s="1"/>
  <c r="EO77" i="9"/>
  <c r="EP76" i="9"/>
  <c r="DV77" i="9"/>
  <c r="A385" i="9" s="1"/>
  <c r="DU78" i="9"/>
  <c r="I81" i="5"/>
  <c r="J80" i="5"/>
  <c r="DY76" i="9"/>
  <c r="DZ75" i="9"/>
  <c r="AD81" i="5"/>
  <c r="AC82" i="5"/>
  <c r="H47" i="6" l="1"/>
  <c r="C56" i="6"/>
  <c r="C57" i="6" s="1"/>
  <c r="C58" i="6" s="1"/>
  <c r="C59" i="6" s="1"/>
  <c r="H58" i="6" s="1"/>
  <c r="LA82" i="9"/>
  <c r="LB82" i="9" s="1"/>
  <c r="FF76" i="9"/>
  <c r="FE77" i="9"/>
  <c r="BB80" i="5"/>
  <c r="BC80" i="5" s="1"/>
  <c r="I82" i="5"/>
  <c r="J81" i="5"/>
  <c r="EO78" i="9"/>
  <c r="EP77" i="9"/>
  <c r="S76" i="5"/>
  <c r="T75" i="5"/>
  <c r="N79" i="5"/>
  <c r="O78" i="5"/>
  <c r="DV78" i="9"/>
  <c r="A386" i="9" s="1"/>
  <c r="DU79" i="9"/>
  <c r="AW77" i="5"/>
  <c r="AX76" i="5"/>
  <c r="FB76" i="9"/>
  <c r="FA77" i="9"/>
  <c r="AD82" i="5"/>
  <c r="AC83" i="5"/>
  <c r="DY77" i="9"/>
  <c r="DZ76" i="9"/>
  <c r="O76" i="9"/>
  <c r="A76" i="9" s="1"/>
  <c r="N77" i="9"/>
  <c r="AN90" i="5"/>
  <c r="A90" i="5" s="1"/>
  <c r="AM91" i="5"/>
  <c r="FF77" i="9" l="1"/>
  <c r="FE78" i="9"/>
  <c r="LA83" i="9"/>
  <c r="LB83" i="9" s="1"/>
  <c r="BB81" i="5"/>
  <c r="BC81" i="5" s="1"/>
  <c r="N78" i="9"/>
  <c r="O77" i="9"/>
  <c r="A77" i="9" s="1"/>
  <c r="DY78" i="9"/>
  <c r="DZ77" i="9"/>
  <c r="AW78" i="5"/>
  <c r="AX77" i="5"/>
  <c r="N80" i="5"/>
  <c r="O79" i="5"/>
  <c r="EO79" i="9"/>
  <c r="EP78" i="9"/>
  <c r="AD83" i="5"/>
  <c r="AC84" i="5"/>
  <c r="AM92" i="5"/>
  <c r="AN91" i="5"/>
  <c r="A91" i="5" s="1"/>
  <c r="FB77" i="9"/>
  <c r="FA78" i="9"/>
  <c r="DV79" i="9"/>
  <c r="A387" i="9" s="1"/>
  <c r="DU80" i="9"/>
  <c r="T76" i="5"/>
  <c r="S77" i="5"/>
  <c r="I83" i="5"/>
  <c r="J82" i="5"/>
  <c r="FF78" i="9" l="1"/>
  <c r="FE79" i="9"/>
  <c r="FF79" i="9" s="1"/>
  <c r="LA84" i="9"/>
  <c r="LB84" i="9" s="1"/>
  <c r="S78" i="5"/>
  <c r="T77" i="5"/>
  <c r="FB78" i="9"/>
  <c r="FA79" i="9"/>
  <c r="AD84" i="5"/>
  <c r="AC85" i="5"/>
  <c r="I84" i="5"/>
  <c r="J83" i="5"/>
  <c r="O80" i="5"/>
  <c r="N81" i="5"/>
  <c r="DZ78" i="9"/>
  <c r="DY79" i="9"/>
  <c r="DU81" i="9"/>
  <c r="DV80" i="9"/>
  <c r="A388" i="9" s="1"/>
  <c r="AN92" i="5"/>
  <c r="A92" i="5" s="1"/>
  <c r="AM93" i="5"/>
  <c r="EO80" i="9"/>
  <c r="EP79" i="9"/>
  <c r="AW79" i="5"/>
  <c r="AX78" i="5"/>
  <c r="N79" i="9"/>
  <c r="O78" i="9"/>
  <c r="A78" i="9" s="1"/>
  <c r="LA85" i="9" l="1"/>
  <c r="LB85" i="9" s="1"/>
  <c r="DV81" i="9"/>
  <c r="A389" i="9" s="1"/>
  <c r="DU82" i="9"/>
  <c r="AM94" i="5"/>
  <c r="AN93" i="5"/>
  <c r="A93" i="5" s="1"/>
  <c r="DY80" i="9"/>
  <c r="DZ79" i="9"/>
  <c r="FA80" i="9"/>
  <c r="FB79" i="9"/>
  <c r="EO81" i="9"/>
  <c r="EP80" i="9"/>
  <c r="AW80" i="5"/>
  <c r="AX79" i="5"/>
  <c r="I85" i="5"/>
  <c r="J84" i="5"/>
  <c r="N82" i="5"/>
  <c r="O81" i="5"/>
  <c r="AC86" i="5"/>
  <c r="AD85" i="5"/>
  <c r="O79" i="9"/>
  <c r="A79" i="9" s="1"/>
  <c r="N80" i="9"/>
  <c r="T78" i="5"/>
  <c r="S79" i="5"/>
  <c r="LA86" i="9" l="1"/>
  <c r="LB86" i="9" s="1"/>
  <c r="I86" i="5"/>
  <c r="J85" i="5"/>
  <c r="DY81" i="9"/>
  <c r="DZ80" i="9"/>
  <c r="N83" i="5"/>
  <c r="O82" i="5"/>
  <c r="FA81" i="9"/>
  <c r="FB80" i="9"/>
  <c r="AM95" i="5"/>
  <c r="AN94" i="5"/>
  <c r="A94" i="5" s="1"/>
  <c r="AD86" i="5"/>
  <c r="AC87" i="5"/>
  <c r="EO82" i="9"/>
  <c r="EP81" i="9"/>
  <c r="N81" i="9"/>
  <c r="O80" i="9"/>
  <c r="A80" i="9" s="1"/>
  <c r="AX80" i="5"/>
  <c r="AW81" i="5"/>
  <c r="T79" i="5"/>
  <c r="S80" i="5"/>
  <c r="DV82" i="9"/>
  <c r="A390" i="9" s="1"/>
  <c r="DU83" i="9"/>
  <c r="LA87" i="9" l="1"/>
  <c r="LB87" i="9" s="1"/>
  <c r="T80" i="5"/>
  <c r="S81" i="5"/>
  <c r="AD87" i="5"/>
  <c r="AC88" i="5"/>
  <c r="FB81" i="9"/>
  <c r="FA82" i="9"/>
  <c r="DY82" i="9"/>
  <c r="DZ81" i="9"/>
  <c r="N82" i="9"/>
  <c r="O81" i="9"/>
  <c r="A81" i="9" s="1"/>
  <c r="DU84" i="9"/>
  <c r="DV83" i="9"/>
  <c r="A391" i="9" s="1"/>
  <c r="AX81" i="5"/>
  <c r="AW82" i="5"/>
  <c r="EO83" i="9"/>
  <c r="EP82" i="9"/>
  <c r="AM96" i="5"/>
  <c r="AN95" i="5"/>
  <c r="A95" i="5" s="1"/>
  <c r="N84" i="5"/>
  <c r="O83" i="5"/>
  <c r="I87" i="5"/>
  <c r="J86" i="5"/>
  <c r="AD88" i="5" l="1"/>
  <c r="AC89" i="5"/>
  <c r="N85" i="5"/>
  <c r="O84" i="5"/>
  <c r="DZ82" i="9"/>
  <c r="DY83" i="9"/>
  <c r="DV84" i="9"/>
  <c r="A392" i="9" s="1"/>
  <c r="DU85" i="9"/>
  <c r="AW83" i="5"/>
  <c r="AX82" i="5"/>
  <c r="FB82" i="9"/>
  <c r="FA83" i="9"/>
  <c r="S82" i="5"/>
  <c r="T81" i="5"/>
  <c r="EO84" i="9"/>
  <c r="EP83" i="9"/>
  <c r="I88" i="5"/>
  <c r="J87" i="5"/>
  <c r="AM97" i="5"/>
  <c r="AN96" i="5"/>
  <c r="N83" i="9"/>
  <c r="O82" i="9"/>
  <c r="A82" i="9" s="1"/>
  <c r="O83" i="9" l="1"/>
  <c r="A83" i="9" s="1"/>
  <c r="N84" i="9"/>
  <c r="AX83" i="5"/>
  <c r="AW84" i="5"/>
  <c r="FA84" i="9"/>
  <c r="FB84" i="9" s="1"/>
  <c r="FB83" i="9"/>
  <c r="DU86" i="9"/>
  <c r="DV85" i="9"/>
  <c r="A393" i="9" s="1"/>
  <c r="O85" i="5"/>
  <c r="N86" i="5"/>
  <c r="I89" i="5"/>
  <c r="J88" i="5"/>
  <c r="S83" i="5"/>
  <c r="T82" i="5"/>
  <c r="AN97" i="5"/>
  <c r="A97" i="5" s="1"/>
  <c r="AM98" i="5"/>
  <c r="EO85" i="9"/>
  <c r="EP85" i="9" s="1"/>
  <c r="EP84" i="9"/>
  <c r="DZ83" i="9"/>
  <c r="DY84" i="9"/>
  <c r="AD89" i="5"/>
  <c r="AC90" i="5"/>
  <c r="AX84" i="5" l="1"/>
  <c r="AW85" i="5"/>
  <c r="S84" i="5"/>
  <c r="T83" i="5"/>
  <c r="DY85" i="9"/>
  <c r="DZ84" i="9"/>
  <c r="AN98" i="5"/>
  <c r="A98" i="5" s="1"/>
  <c r="AM99" i="5"/>
  <c r="I90" i="5"/>
  <c r="J89" i="5"/>
  <c r="DU87" i="9"/>
  <c r="DV86" i="9"/>
  <c r="A394" i="9" s="1"/>
  <c r="AD90" i="5"/>
  <c r="AC91" i="5"/>
  <c r="N87" i="5"/>
  <c r="O86" i="5"/>
  <c r="N85" i="9"/>
  <c r="O84" i="9"/>
  <c r="A84" i="9" s="1"/>
  <c r="AM100" i="5" l="1"/>
  <c r="AN99" i="5"/>
  <c r="A99" i="5" s="1"/>
  <c r="DV87" i="9"/>
  <c r="A395" i="9" s="1"/>
  <c r="DU88" i="9"/>
  <c r="T84" i="5"/>
  <c r="S85" i="5"/>
  <c r="O87" i="5"/>
  <c r="N88" i="5"/>
  <c r="AX85" i="5"/>
  <c r="AW86" i="5"/>
  <c r="AC92" i="5"/>
  <c r="AD91" i="5"/>
  <c r="N86" i="9"/>
  <c r="O85" i="9"/>
  <c r="A85" i="9" s="1"/>
  <c r="I91" i="5"/>
  <c r="J90" i="5"/>
  <c r="DZ85" i="9"/>
  <c r="DY86" i="9"/>
  <c r="O88" i="5" l="1"/>
  <c r="N89" i="5"/>
  <c r="DU89" i="9"/>
  <c r="DV88" i="9"/>
  <c r="A396" i="9" s="1"/>
  <c r="I92" i="5"/>
  <c r="J91" i="5"/>
  <c r="DY87" i="9"/>
  <c r="DZ86" i="9"/>
  <c r="AW87" i="5"/>
  <c r="AX86" i="5"/>
  <c r="S86" i="5"/>
  <c r="T85" i="5"/>
  <c r="AC93" i="5"/>
  <c r="AD92" i="5"/>
  <c r="N87" i="9"/>
  <c r="O86" i="9"/>
  <c r="A86" i="9" s="1"/>
  <c r="AM101" i="5"/>
  <c r="AN100" i="5"/>
  <c r="A100" i="5" s="1"/>
  <c r="AN101" i="5" l="1"/>
  <c r="A101" i="5" s="1"/>
  <c r="AM102" i="5"/>
  <c r="AX87" i="5"/>
  <c r="AW88" i="5"/>
  <c r="S87" i="5"/>
  <c r="T86" i="5"/>
  <c r="DY88" i="9"/>
  <c r="DZ87" i="9"/>
  <c r="DV89" i="9"/>
  <c r="A397" i="9" s="1"/>
  <c r="DU90" i="9"/>
  <c r="AC94" i="5"/>
  <c r="AD93" i="5"/>
  <c r="I93" i="5"/>
  <c r="J92" i="5"/>
  <c r="N88" i="9"/>
  <c r="O87" i="9"/>
  <c r="A87" i="9" s="1"/>
  <c r="O89" i="5"/>
  <c r="N90" i="5"/>
  <c r="J93" i="5" l="1"/>
  <c r="I94" i="5"/>
  <c r="S88" i="5"/>
  <c r="T87" i="5"/>
  <c r="AX88" i="5"/>
  <c r="AW89" i="5"/>
  <c r="N89" i="9"/>
  <c r="O88" i="9"/>
  <c r="A88" i="9" s="1"/>
  <c r="AD94" i="5"/>
  <c r="AC95" i="5"/>
  <c r="DY89" i="9"/>
  <c r="DZ88" i="9"/>
  <c r="N91" i="5"/>
  <c r="O90" i="5"/>
  <c r="DU91" i="9"/>
  <c r="DV90" i="9"/>
  <c r="A398" i="9" s="1"/>
  <c r="AN102" i="5"/>
  <c r="A102" i="5" s="1"/>
  <c r="AM103" i="5"/>
  <c r="N92" i="5" l="1"/>
  <c r="O91" i="5"/>
  <c r="O89" i="9"/>
  <c r="A89" i="9" s="1"/>
  <c r="N90" i="9"/>
  <c r="T88" i="5"/>
  <c r="S89" i="5"/>
  <c r="DU92" i="9"/>
  <c r="DV91" i="9"/>
  <c r="A399" i="9" s="1"/>
  <c r="DY90" i="9"/>
  <c r="DZ89" i="9"/>
  <c r="AM104" i="5"/>
  <c r="AN103" i="5"/>
  <c r="A103" i="5" s="1"/>
  <c r="AC96" i="5"/>
  <c r="AD95" i="5"/>
  <c r="AW90" i="5"/>
  <c r="AX89" i="5"/>
  <c r="I95" i="5"/>
  <c r="J94" i="5"/>
  <c r="N91" i="9" l="1"/>
  <c r="O90" i="9"/>
  <c r="A90" i="9" s="1"/>
  <c r="S90" i="5"/>
  <c r="T89" i="5"/>
  <c r="I96" i="5"/>
  <c r="J95" i="5"/>
  <c r="AD96" i="5"/>
  <c r="AC97" i="5"/>
  <c r="DZ90" i="9"/>
  <c r="DY91" i="9"/>
  <c r="N93" i="5"/>
  <c r="O92" i="5"/>
  <c r="AX90" i="5"/>
  <c r="AW91" i="5"/>
  <c r="AN104" i="5"/>
  <c r="A104" i="5" s="1"/>
  <c r="AM105" i="5"/>
  <c r="DV92" i="9"/>
  <c r="A400" i="9" s="1"/>
  <c r="DU93" i="9"/>
  <c r="DY92" i="9" l="1"/>
  <c r="DZ91" i="9"/>
  <c r="AM106" i="5"/>
  <c r="AN105" i="5"/>
  <c r="A105" i="5" s="1"/>
  <c r="AC98" i="5"/>
  <c r="AD97" i="5"/>
  <c r="DV93" i="9"/>
  <c r="A401" i="9" s="1"/>
  <c r="DU94" i="9"/>
  <c r="AW92" i="5"/>
  <c r="AX91" i="5"/>
  <c r="O93" i="5"/>
  <c r="N94" i="5"/>
  <c r="S91" i="5"/>
  <c r="T90" i="5"/>
  <c r="I97" i="5"/>
  <c r="J96" i="5"/>
  <c r="N92" i="9"/>
  <c r="O91" i="9"/>
  <c r="A91" i="9" s="1"/>
  <c r="N95" i="5" l="1"/>
  <c r="O94" i="5"/>
  <c r="DU95" i="9"/>
  <c r="DV94" i="9"/>
  <c r="A402" i="9" s="1"/>
  <c r="AN106" i="5"/>
  <c r="A106" i="5" s="1"/>
  <c r="AM107" i="5"/>
  <c r="I98" i="5"/>
  <c r="J97" i="5"/>
  <c r="N93" i="9"/>
  <c r="O92" i="9"/>
  <c r="A92" i="9" s="1"/>
  <c r="S92" i="5"/>
  <c r="T91" i="5"/>
  <c r="AW93" i="5"/>
  <c r="AX92" i="5"/>
  <c r="AD98" i="5"/>
  <c r="AC99" i="5"/>
  <c r="DY93" i="9"/>
  <c r="DZ92" i="9"/>
  <c r="AD99" i="5" l="1"/>
  <c r="AC100" i="5"/>
  <c r="T92" i="5"/>
  <c r="S93" i="5"/>
  <c r="I99" i="5"/>
  <c r="J98" i="5"/>
  <c r="DU96" i="9"/>
  <c r="DV95" i="9"/>
  <c r="A403" i="9" s="1"/>
  <c r="AM108" i="5"/>
  <c r="AN107" i="5"/>
  <c r="A107" i="5" s="1"/>
  <c r="DY94" i="9"/>
  <c r="DZ93" i="9"/>
  <c r="AW94" i="5"/>
  <c r="AX93" i="5"/>
  <c r="O93" i="9"/>
  <c r="A93" i="9" s="1"/>
  <c r="N94" i="9"/>
  <c r="O95" i="5"/>
  <c r="N96" i="5"/>
  <c r="S94" i="5" l="1"/>
  <c r="T93" i="5"/>
  <c r="DZ94" i="9"/>
  <c r="DY95" i="9"/>
  <c r="DU97" i="9"/>
  <c r="DV96" i="9"/>
  <c r="A404" i="9" s="1"/>
  <c r="N95" i="9"/>
  <c r="O94" i="9"/>
  <c r="A94" i="9" s="1"/>
  <c r="O96" i="5"/>
  <c r="N97" i="5"/>
  <c r="AC101" i="5"/>
  <c r="AD100" i="5"/>
  <c r="AW95" i="5"/>
  <c r="AX94" i="5"/>
  <c r="AM109" i="5"/>
  <c r="AN108" i="5"/>
  <c r="A108" i="5" s="1"/>
  <c r="I100" i="5"/>
  <c r="J99" i="5"/>
  <c r="O97" i="5" l="1"/>
  <c r="N98" i="5"/>
  <c r="DY96" i="9"/>
  <c r="DZ95" i="9"/>
  <c r="AM110" i="5"/>
  <c r="AN109" i="5"/>
  <c r="A109" i="5" s="1"/>
  <c r="AC102" i="5"/>
  <c r="AD101" i="5"/>
  <c r="N96" i="9"/>
  <c r="O95" i="9"/>
  <c r="A95" i="9" s="1"/>
  <c r="I101" i="5"/>
  <c r="J100" i="5"/>
  <c r="AW96" i="5"/>
  <c r="AX96" i="5" s="1"/>
  <c r="AX95" i="5"/>
  <c r="DV97" i="9"/>
  <c r="A405" i="9" s="1"/>
  <c r="DU98" i="9"/>
  <c r="S95" i="5"/>
  <c r="T94" i="5"/>
  <c r="DU99" i="9" l="1"/>
  <c r="DV98" i="9"/>
  <c r="A406" i="9" s="1"/>
  <c r="I102" i="5"/>
  <c r="J101" i="5"/>
  <c r="AD102" i="5"/>
  <c r="AC103" i="5"/>
  <c r="DY97" i="9"/>
  <c r="DZ96" i="9"/>
  <c r="N99" i="5"/>
  <c r="O98" i="5"/>
  <c r="S96" i="5"/>
  <c r="T95" i="5"/>
  <c r="N97" i="9"/>
  <c r="O96" i="9"/>
  <c r="A96" i="9" s="1"/>
  <c r="AN110" i="5"/>
  <c r="A110" i="5" s="1"/>
  <c r="AM111" i="5"/>
  <c r="AM112" i="5" l="1"/>
  <c r="AN111" i="5"/>
  <c r="A111" i="5" s="1"/>
  <c r="S97" i="5"/>
  <c r="T96" i="5"/>
  <c r="DY98" i="9"/>
  <c r="DZ97" i="9"/>
  <c r="I103" i="5"/>
  <c r="J102" i="5"/>
  <c r="AD103" i="5"/>
  <c r="AC104" i="5"/>
  <c r="O97" i="9"/>
  <c r="A97" i="9" s="1"/>
  <c r="N98" i="9"/>
  <c r="O99" i="5"/>
  <c r="N100" i="5"/>
  <c r="DV99" i="9"/>
  <c r="A407" i="9" s="1"/>
  <c r="F247" i="10" s="1"/>
  <c r="DU100" i="9"/>
  <c r="DV100" i="9" s="1"/>
  <c r="A408" i="9" s="1"/>
  <c r="N99" i="9" l="1"/>
  <c r="O98" i="9"/>
  <c r="A98" i="9" s="1"/>
  <c r="J247" i="10"/>
  <c r="C272" i="10"/>
  <c r="C273" i="10" s="1"/>
  <c r="C274" i="10" s="1"/>
  <c r="I104" i="5"/>
  <c r="J103" i="5"/>
  <c r="S98" i="5"/>
  <c r="T97" i="5"/>
  <c r="O100" i="5"/>
  <c r="N101" i="5"/>
  <c r="AD104" i="5"/>
  <c r="AC105" i="5"/>
  <c r="DY99" i="9"/>
  <c r="DZ98" i="9"/>
  <c r="A409" i="9" s="1"/>
  <c r="AN112" i="5"/>
  <c r="A112" i="5" s="1"/>
  <c r="AM113" i="5"/>
  <c r="AM114" i="5" l="1"/>
  <c r="AN113" i="5"/>
  <c r="A113" i="5" s="1"/>
  <c r="AD105" i="5"/>
  <c r="AC106" i="5"/>
  <c r="T98" i="5"/>
  <c r="S99" i="5"/>
  <c r="O101" i="5"/>
  <c r="N102" i="5"/>
  <c r="DZ99" i="9"/>
  <c r="A410" i="9" s="1"/>
  <c r="DY100" i="9"/>
  <c r="I105" i="5"/>
  <c r="J104" i="5"/>
  <c r="O99" i="9"/>
  <c r="A99" i="9" s="1"/>
  <c r="N100" i="9"/>
  <c r="AD106" i="5" l="1"/>
  <c r="AC107" i="5"/>
  <c r="N101" i="9"/>
  <c r="O100" i="9"/>
  <c r="A100" i="9" s="1"/>
  <c r="N103" i="5"/>
  <c r="O102" i="5"/>
  <c r="I106" i="5"/>
  <c r="J105" i="5"/>
  <c r="DY101" i="9"/>
  <c r="DZ100" i="9"/>
  <c r="A411" i="9" s="1"/>
  <c r="T99" i="5"/>
  <c r="S100" i="5"/>
  <c r="AM115" i="5"/>
  <c r="AN114" i="5"/>
  <c r="A114" i="5" s="1"/>
  <c r="T100" i="5" l="1"/>
  <c r="S101" i="5"/>
  <c r="I107" i="5"/>
  <c r="J106" i="5"/>
  <c r="O101" i="9"/>
  <c r="A101" i="9" s="1"/>
  <c r="N102" i="9"/>
  <c r="AC108" i="5"/>
  <c r="AD107" i="5"/>
  <c r="AN115" i="5"/>
  <c r="A115" i="5" s="1"/>
  <c r="AM116" i="5"/>
  <c r="DZ101" i="9"/>
  <c r="A412" i="9" s="1"/>
  <c r="DY102" i="9"/>
  <c r="O103" i="5"/>
  <c r="N104" i="5"/>
  <c r="AD108" i="5" l="1"/>
  <c r="AC109" i="5"/>
  <c r="I108" i="5"/>
  <c r="J107" i="5"/>
  <c r="DY103" i="9"/>
  <c r="DZ102" i="9"/>
  <c r="A413" i="9" s="1"/>
  <c r="N105" i="5"/>
  <c r="O104" i="5"/>
  <c r="AN116" i="5"/>
  <c r="A116" i="5" s="1"/>
  <c r="AM117" i="5"/>
  <c r="O102" i="9"/>
  <c r="A102" i="9" s="1"/>
  <c r="N103" i="9"/>
  <c r="S102" i="5"/>
  <c r="T101" i="5"/>
  <c r="O103" i="9" l="1"/>
  <c r="A103" i="9" s="1"/>
  <c r="N104" i="9"/>
  <c r="N106" i="5"/>
  <c r="O105" i="5"/>
  <c r="I109" i="5"/>
  <c r="J108" i="5"/>
  <c r="AD109" i="5"/>
  <c r="AC110" i="5"/>
  <c r="AN117" i="5"/>
  <c r="A117" i="5" s="1"/>
  <c r="AM118" i="5"/>
  <c r="T102" i="5"/>
  <c r="S103" i="5"/>
  <c r="DY104" i="9"/>
  <c r="DZ103" i="9"/>
  <c r="A414" i="9" s="1"/>
  <c r="N107" i="5" l="1"/>
  <c r="O106" i="5"/>
  <c r="S104" i="5"/>
  <c r="T103" i="5"/>
  <c r="AD110" i="5"/>
  <c r="AC111" i="5"/>
  <c r="AN118" i="5"/>
  <c r="A118" i="5" s="1"/>
  <c r="AM119" i="5"/>
  <c r="O104" i="9"/>
  <c r="A104" i="9" s="1"/>
  <c r="N105" i="9"/>
  <c r="DY105" i="9"/>
  <c r="DZ104" i="9"/>
  <c r="A415" i="9" s="1"/>
  <c r="J109" i="5"/>
  <c r="I110" i="5"/>
  <c r="AM120" i="5" l="1"/>
  <c r="AN120" i="5" s="1"/>
  <c r="A120" i="5" s="1"/>
  <c r="AN119" i="5"/>
  <c r="A119" i="5" s="1"/>
  <c r="I111" i="5"/>
  <c r="J110" i="5"/>
  <c r="AC112" i="5"/>
  <c r="AD111" i="5"/>
  <c r="DZ105" i="9"/>
  <c r="A416" i="9" s="1"/>
  <c r="DY106" i="9"/>
  <c r="T104" i="5"/>
  <c r="S105" i="5"/>
  <c r="N106" i="9"/>
  <c r="O106" i="9" s="1"/>
  <c r="A106" i="9" s="1"/>
  <c r="O105" i="9"/>
  <c r="A105" i="9" s="1"/>
  <c r="O107" i="5"/>
  <c r="N108" i="5"/>
  <c r="DY107" i="9" l="1"/>
  <c r="DZ106" i="9"/>
  <c r="A417" i="9" s="1"/>
  <c r="I112" i="5"/>
  <c r="J111" i="5"/>
  <c r="O108" i="5"/>
  <c r="N109" i="5"/>
  <c r="S106" i="5"/>
  <c r="T105" i="5"/>
  <c r="AD112" i="5"/>
  <c r="AC113" i="5"/>
  <c r="I113" i="5" l="1"/>
  <c r="J112" i="5"/>
  <c r="T106" i="5"/>
  <c r="S107" i="5"/>
  <c r="AC114" i="5"/>
  <c r="AD114" i="5" s="1"/>
  <c r="AD113" i="5"/>
  <c r="N110" i="5"/>
  <c r="O109" i="5"/>
  <c r="DZ107" i="9"/>
  <c r="A418" i="9" s="1"/>
  <c r="DY108" i="9"/>
  <c r="T107" i="5" l="1"/>
  <c r="S108" i="5"/>
  <c r="N111" i="5"/>
  <c r="O110" i="5"/>
  <c r="DZ108" i="9"/>
  <c r="A419" i="9" s="1"/>
  <c r="DY109" i="9"/>
  <c r="I114" i="5"/>
  <c r="J113" i="5"/>
  <c r="I115" i="5" l="1"/>
  <c r="J114" i="5"/>
  <c r="O111" i="5"/>
  <c r="N112" i="5"/>
  <c r="DZ109" i="9"/>
  <c r="A420" i="9" s="1"/>
  <c r="DY110" i="9"/>
  <c r="T108" i="5"/>
  <c r="S109" i="5"/>
  <c r="S110" i="5" l="1"/>
  <c r="T109" i="5"/>
  <c r="O112" i="5"/>
  <c r="N113" i="5"/>
  <c r="DZ110" i="9"/>
  <c r="A421" i="9" s="1"/>
  <c r="DY111" i="9"/>
  <c r="DZ111" i="9" s="1"/>
  <c r="I116" i="5"/>
  <c r="J115" i="5"/>
  <c r="O113" i="5" l="1"/>
  <c r="N114" i="5"/>
  <c r="I117" i="5"/>
  <c r="J116" i="5"/>
  <c r="S111" i="5"/>
  <c r="T110" i="5"/>
  <c r="I118" i="5" l="1"/>
  <c r="J117" i="5"/>
  <c r="N115" i="5"/>
  <c r="O114" i="5"/>
  <c r="S112" i="5"/>
  <c r="T111" i="5"/>
  <c r="O115" i="5" l="1"/>
  <c r="N116" i="5"/>
  <c r="T112" i="5"/>
  <c r="S113" i="5"/>
  <c r="I119" i="5"/>
  <c r="J118" i="5"/>
  <c r="S114" i="5" l="1"/>
  <c r="T113" i="5"/>
  <c r="N117" i="5"/>
  <c r="O116" i="5"/>
  <c r="I120" i="5"/>
  <c r="J119" i="5"/>
  <c r="N118" i="5" l="1"/>
  <c r="O117" i="5"/>
  <c r="I121" i="5"/>
  <c r="J120" i="5"/>
  <c r="S115" i="5"/>
  <c r="T114" i="5"/>
  <c r="I122" i="5" l="1"/>
  <c r="J121" i="5"/>
  <c r="T115" i="5"/>
  <c r="S116" i="5"/>
  <c r="N119" i="5"/>
  <c r="O118" i="5"/>
  <c r="T116" i="5" l="1"/>
  <c r="S117" i="5"/>
  <c r="O119" i="5"/>
  <c r="N120" i="5"/>
  <c r="O120" i="5" s="1"/>
  <c r="I123" i="5"/>
  <c r="J122" i="5"/>
  <c r="S118" i="5" l="1"/>
  <c r="T117" i="5"/>
  <c r="J123" i="5"/>
  <c r="I124" i="5"/>
  <c r="I125" i="5" l="1"/>
  <c r="J124" i="5"/>
  <c r="S119" i="5"/>
  <c r="T118" i="5"/>
  <c r="T119" i="5" l="1"/>
  <c r="S120" i="5"/>
  <c r="I126" i="5"/>
  <c r="J125" i="5"/>
  <c r="S121" i="5" l="1"/>
  <c r="T120" i="5"/>
  <c r="J126" i="5"/>
  <c r="I127" i="5"/>
  <c r="I128" i="5" l="1"/>
  <c r="J127" i="5"/>
  <c r="S122" i="5"/>
  <c r="T121" i="5"/>
  <c r="S123" i="5" l="1"/>
  <c r="T122" i="5"/>
  <c r="J128" i="5"/>
  <c r="I129" i="5"/>
  <c r="I130" i="5" l="1"/>
  <c r="J129" i="5"/>
  <c r="T123" i="5"/>
  <c r="S124" i="5"/>
  <c r="S125" i="5" l="1"/>
  <c r="T124" i="5"/>
  <c r="I131" i="5"/>
  <c r="J130" i="5"/>
  <c r="I132" i="5" l="1"/>
  <c r="J132" i="5" s="1"/>
  <c r="J131" i="5"/>
  <c r="S126" i="5"/>
  <c r="T125" i="5"/>
  <c r="T126" i="5" l="1"/>
  <c r="S127" i="5"/>
  <c r="S128" i="5" l="1"/>
  <c r="T127" i="5"/>
  <c r="S129" i="5" l="1"/>
  <c r="T128" i="5"/>
  <c r="S130" i="5" l="1"/>
  <c r="T129" i="5"/>
  <c r="T130" i="5" l="1"/>
  <c r="S131" i="5"/>
  <c r="S132" i="5" l="1"/>
  <c r="T131" i="5"/>
  <c r="S133" i="5" l="1"/>
  <c r="T132" i="5"/>
  <c r="S134" i="5" l="1"/>
  <c r="T133" i="5"/>
  <c r="T134" i="5" l="1"/>
  <c r="S135" i="5"/>
  <c r="S136" i="5" l="1"/>
  <c r="T135" i="5"/>
  <c r="S137" i="5" l="1"/>
  <c r="T136" i="5"/>
  <c r="S138" i="5" l="1"/>
  <c r="T137" i="5"/>
  <c r="S139" i="5" l="1"/>
  <c r="T138" i="5"/>
  <c r="T139" i="5" l="1"/>
  <c r="S140" i="5"/>
  <c r="S141" i="5" l="1"/>
  <c r="T140" i="5"/>
  <c r="T141" i="5" l="1"/>
  <c r="S142" i="5"/>
  <c r="T142" i="5" l="1"/>
  <c r="S143" i="5"/>
  <c r="T143" i="5" l="1"/>
  <c r="S144" i="5"/>
  <c r="T144" i="5" l="1"/>
  <c r="S145" i="5"/>
  <c r="T145" i="5" l="1"/>
  <c r="S146" i="5"/>
  <c r="T146" i="5" l="1"/>
  <c r="S147" i="5"/>
  <c r="T147" i="5" l="1"/>
  <c r="S148" i="5"/>
  <c r="S149" i="5" l="1"/>
  <c r="T148" i="5"/>
  <c r="S150" i="5" l="1"/>
  <c r="T149" i="5"/>
  <c r="T150" i="5" l="1"/>
  <c r="S151" i="5"/>
  <c r="T151" i="5" l="1"/>
  <c r="S152" i="5"/>
  <c r="S153" i="5" l="1"/>
  <c r="T152" i="5"/>
  <c r="S154" i="5" l="1"/>
  <c r="T153" i="5"/>
  <c r="S155" i="5" l="1"/>
  <c r="T154" i="5"/>
  <c r="S156" i="5" l="1"/>
  <c r="T155" i="5"/>
  <c r="S157" i="5" l="1"/>
  <c r="T156" i="5"/>
  <c r="S158" i="5" l="1"/>
  <c r="T157" i="5"/>
  <c r="S159" i="5" l="1"/>
  <c r="T158" i="5"/>
  <c r="S160" i="5" l="1"/>
  <c r="T160" i="5" s="1"/>
  <c r="T15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Vairo Bravo Segura</author>
    <author>Cristian Cardenas Figueroa</author>
  </authors>
  <commentList>
    <comment ref="C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Vairo Bravo Segura:</t>
        </r>
        <r>
          <rPr>
            <sz val="9"/>
            <color indexed="81"/>
            <rFont val="Tahoma"/>
            <family val="2"/>
          </rPr>
          <t xml:space="preserve">
Sacar de BBG a las 11:00 horas</t>
        </r>
      </text>
    </comment>
    <comment ref="C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Vairo Bravo Segura:</t>
        </r>
        <r>
          <rPr>
            <sz val="9"/>
            <color indexed="81"/>
            <rFont val="Tahoma"/>
            <family val="2"/>
          </rPr>
          <t xml:space="preserve">
Sacar de BBG a las 11:00 horas</t>
        </r>
      </text>
    </comment>
    <comment ref="C9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Vairo Bravo Segura:</t>
        </r>
        <r>
          <rPr>
            <sz val="9"/>
            <color indexed="81"/>
            <rFont val="Tahoma"/>
            <family val="2"/>
          </rPr>
          <t xml:space="preserve">
Sacar de BBG a las 11:00 horas</t>
        </r>
      </text>
    </comment>
    <comment ref="C10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Vairo Bravo Segura:</t>
        </r>
        <r>
          <rPr>
            <sz val="9"/>
            <color indexed="81"/>
            <rFont val="Tahoma"/>
            <family val="2"/>
          </rPr>
          <t xml:space="preserve">
Sacar de BBG a las 11:00 horas</t>
        </r>
      </text>
    </comment>
    <comment ref="C1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Vairo Bravo Segura:</t>
        </r>
        <r>
          <rPr>
            <sz val="9"/>
            <color indexed="81"/>
            <rFont val="Tahoma"/>
            <family val="2"/>
          </rPr>
          <t xml:space="preserve">
Sacar de BBG a las 11:00 horas</t>
        </r>
      </text>
    </comment>
    <comment ref="I15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Compensación</t>
        </r>
      </text>
    </comment>
    <comment ref="I20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Compensación</t>
        </r>
      </text>
    </comment>
    <comment ref="I21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Compensación</t>
        </r>
      </text>
    </comment>
    <comment ref="I22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Compensación</t>
        </r>
      </text>
    </comment>
    <comment ref="I23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Compensación</t>
        </r>
      </text>
    </comment>
    <comment ref="I24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Compensación</t>
        </r>
      </text>
    </comment>
    <comment ref="I25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Compensación</t>
        </r>
      </text>
    </comment>
    <comment ref="I26" authorId="1" shapeId="0" xr:uid="{00000000-0006-0000-0200-00000D000000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Compensación</t>
        </r>
      </text>
    </comment>
    <comment ref="I27" authorId="1" shapeId="0" xr:uid="{00000000-0006-0000-0200-00000E000000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Compensación</t>
        </r>
      </text>
    </comment>
    <comment ref="I28" authorId="1" shapeId="0" xr:uid="{00000000-0006-0000-0200-00000F000000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Compensación</t>
        </r>
      </text>
    </comment>
    <comment ref="I29" authorId="1" shapeId="0" xr:uid="{00000000-0006-0000-0200-000010000000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Compensación</t>
        </r>
      </text>
    </comment>
    <comment ref="I30" authorId="1" shapeId="0" xr:uid="{00000000-0006-0000-0200-000011000000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Compensación</t>
        </r>
      </text>
    </comment>
    <comment ref="I32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Compensación</t>
        </r>
      </text>
    </comment>
    <comment ref="I38" authorId="1" shapeId="0" xr:uid="{F8D8C750-CD68-45E4-A658-70C083FBF301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Compensación</t>
        </r>
      </text>
    </comment>
    <comment ref="I39" authorId="1" shapeId="0" xr:uid="{72AED1E5-EE40-46AD-A374-F07619D2FBED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Compensación</t>
        </r>
      </text>
    </comment>
    <comment ref="I45" authorId="1" shapeId="0" xr:uid="{00000000-0006-0000-0200-000013000000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Compensacion</t>
        </r>
      </text>
    </comment>
    <comment ref="I46" authorId="1" shapeId="0" xr:uid="{00000000-0006-0000-0200-000014000000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Compensacion</t>
        </r>
      </text>
    </comment>
    <comment ref="I47" authorId="1" shapeId="0" xr:uid="{00000000-0006-0000-0200-000015000000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Compensacion</t>
        </r>
      </text>
    </comment>
    <comment ref="I48" authorId="1" shapeId="0" xr:uid="{00000000-0006-0000-0200-000016000000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Compensacion</t>
        </r>
      </text>
    </comment>
    <comment ref="I49" authorId="1" shapeId="0" xr:uid="{00000000-0006-0000-0200-000017000000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Compensacion</t>
        </r>
      </text>
    </comment>
    <comment ref="I50" authorId="1" shapeId="0" xr:uid="{00000000-0006-0000-0200-000018000000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Compensacion</t>
        </r>
      </text>
    </comment>
    <comment ref="I51" authorId="1" shapeId="0" xr:uid="{00000000-0006-0000-0200-000019000000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Compensacion</t>
        </r>
      </text>
    </comment>
    <comment ref="I52" authorId="1" shapeId="0" xr:uid="{00000000-0006-0000-0200-00001A000000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Compensacion</t>
        </r>
      </text>
    </comment>
    <comment ref="I53" authorId="1" shapeId="0" xr:uid="{00000000-0006-0000-0200-00001B000000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Compensacion</t>
        </r>
      </text>
    </comment>
    <comment ref="I54" authorId="1" shapeId="0" xr:uid="{00000000-0006-0000-0200-00001C000000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Compensacion</t>
        </r>
      </text>
    </comment>
    <comment ref="I55" authorId="1" shapeId="0" xr:uid="{00000000-0006-0000-0200-00001D000000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Compensacion</t>
        </r>
      </text>
    </comment>
    <comment ref="I56" authorId="1" shapeId="0" xr:uid="{00000000-0006-0000-0200-00001E000000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Compensacion</t>
        </r>
      </text>
    </comment>
    <comment ref="I57" authorId="1" shapeId="0" xr:uid="{00000000-0006-0000-0200-00001F000000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Compensacion</t>
        </r>
      </text>
    </comment>
    <comment ref="I58" authorId="1" shapeId="0" xr:uid="{00000000-0006-0000-0200-000020000000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Fisico</t>
        </r>
      </text>
    </comment>
    <comment ref="I59" authorId="1" shapeId="0" xr:uid="{00000000-0006-0000-0200-000021000000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Fisico</t>
        </r>
      </text>
    </comment>
    <comment ref="I60" authorId="1" shapeId="0" xr:uid="{00000000-0006-0000-0200-000022000000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Fisico</t>
        </r>
      </text>
    </comment>
    <comment ref="I62" authorId="1" shapeId="0" xr:uid="{00000000-0006-0000-0200-000023000000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Compensacion</t>
        </r>
      </text>
    </comment>
    <comment ref="I67" authorId="1" shapeId="0" xr:uid="{00000000-0006-0000-0200-000024000000}">
      <text>
        <r>
          <rPr>
            <b/>
            <sz val="9"/>
            <color indexed="81"/>
            <rFont val="Tahoma"/>
            <family val="2"/>
          </rPr>
          <t xml:space="preserve">Cristian Cardenas Figueroa: Fisico
</t>
        </r>
      </text>
    </comment>
    <comment ref="I68" authorId="1" shapeId="0" xr:uid="{00000000-0006-0000-0200-000025000000}">
      <text>
        <r>
          <rPr>
            <b/>
            <sz val="9"/>
            <color indexed="81"/>
            <rFont val="Tahoma"/>
            <family val="2"/>
          </rPr>
          <t xml:space="preserve">Cristian Cardenas Figueroa: Fisico
</t>
        </r>
      </text>
    </comment>
    <comment ref="I69" authorId="1" shapeId="0" xr:uid="{00000000-0006-0000-0200-000026000000}">
      <text>
        <r>
          <rPr>
            <b/>
            <sz val="9"/>
            <color indexed="81"/>
            <rFont val="Tahoma"/>
            <family val="2"/>
          </rPr>
          <t xml:space="preserve">Cristian Cardenas Figueroa: Fisico
</t>
        </r>
      </text>
    </comment>
    <comment ref="I70" authorId="1" shapeId="0" xr:uid="{00000000-0006-0000-0200-000027000000}">
      <text>
        <r>
          <rPr>
            <b/>
            <sz val="9"/>
            <color indexed="81"/>
            <rFont val="Tahoma"/>
            <family val="2"/>
          </rPr>
          <t xml:space="preserve">Cristian Cardenas Figueroa: Fisico
</t>
        </r>
      </text>
    </comment>
    <comment ref="I76" authorId="1" shapeId="0" xr:uid="{00000000-0006-0000-0200-000028000000}">
      <text>
        <r>
          <rPr>
            <b/>
            <sz val="9"/>
            <color indexed="81"/>
            <rFont val="Tahoma"/>
            <family val="2"/>
          </rPr>
          <t xml:space="preserve">Cristian Cardenas Figueroa: Fisico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Vairo Bravo Segura</author>
  </authors>
  <commentList>
    <comment ref="C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Vairo Bravo Segura:</t>
        </r>
        <r>
          <rPr>
            <sz val="9"/>
            <color indexed="81"/>
            <rFont val="Tahoma"/>
            <family val="2"/>
          </rPr>
          <t xml:space="preserve">
Sacar de BBG a las 11:00 horas</t>
        </r>
      </text>
    </comment>
    <comment ref="C7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Vairo Bravo Segura:</t>
        </r>
        <r>
          <rPr>
            <sz val="9"/>
            <color indexed="81"/>
            <rFont val="Tahoma"/>
            <family val="2"/>
          </rPr>
          <t xml:space="preserve">
Sacar de BBG a las 11:00 horas</t>
        </r>
      </text>
    </comment>
    <comment ref="C8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Vairo Bravo Segura:</t>
        </r>
        <r>
          <rPr>
            <sz val="9"/>
            <color indexed="81"/>
            <rFont val="Tahoma"/>
            <family val="2"/>
          </rPr>
          <t xml:space="preserve">
Sacar de BBG a las 11:00 horas</t>
        </r>
      </text>
    </comment>
    <comment ref="C9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Vairo Bravo Segura:</t>
        </r>
        <r>
          <rPr>
            <sz val="9"/>
            <color indexed="81"/>
            <rFont val="Tahoma"/>
            <family val="2"/>
          </rPr>
          <t xml:space="preserve">
Sacar de BBG a las 11:00 horas</t>
        </r>
      </text>
    </comment>
    <comment ref="C16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Vairo Bravo Segura:</t>
        </r>
        <r>
          <rPr>
            <sz val="9"/>
            <color indexed="81"/>
            <rFont val="Tahoma"/>
            <family val="2"/>
          </rPr>
          <t xml:space="preserve">
Sacar de BBG a las 11:00 horas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Cristian Cardenas Figueroa</author>
  </authors>
  <commentList>
    <comment ref="O7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Cristian Cardenas Figueroa:</t>
        </r>
        <r>
          <rPr>
            <sz val="9"/>
            <color indexed="81"/>
            <rFont val="Tahoma"/>
            <family val="2"/>
          </rPr>
          <t xml:space="preserve">
Fisico
</t>
        </r>
      </text>
    </comment>
  </commentList>
</comments>
</file>

<file path=xl/sharedStrings.xml><?xml version="1.0" encoding="utf-8"?>
<sst xmlns="http://schemas.openxmlformats.org/spreadsheetml/2006/main" count="2962" uniqueCount="495">
  <si>
    <t>FIXING DATE</t>
  </si>
  <si>
    <t>Contraparte</t>
  </si>
  <si>
    <t>Fecha Operación</t>
  </si>
  <si>
    <t>Plazo</t>
  </si>
  <si>
    <t>Fecha Vencto.</t>
  </si>
  <si>
    <t>Moneda</t>
  </si>
  <si>
    <t>Tipo Contrato</t>
  </si>
  <si>
    <t>Monto Contrato</t>
  </si>
  <si>
    <t>Precio Futuro</t>
  </si>
  <si>
    <t>Valor FW</t>
  </si>
  <si>
    <t>Resultado (Pérdida)    Utilidad</t>
  </si>
  <si>
    <t>Santander</t>
  </si>
  <si>
    <t>C</t>
  </si>
  <si>
    <t>UF</t>
  </si>
  <si>
    <t>V</t>
  </si>
  <si>
    <t>SERVICIO</t>
  </si>
  <si>
    <t>NOMBRE</t>
  </si>
  <si>
    <t>RUT</t>
  </si>
  <si>
    <t>FECHA</t>
  </si>
  <si>
    <t>HORA</t>
  </si>
  <si>
    <t>FECHA2</t>
  </si>
  <si>
    <t>HORA3</t>
  </si>
  <si>
    <t>FECHA4</t>
  </si>
  <si>
    <t>RECIBIDOS</t>
  </si>
  <si>
    <t>BUENOS</t>
  </si>
  <si>
    <t>MALOS</t>
  </si>
  <si>
    <t>RESULTADO</t>
  </si>
  <si>
    <t>NEMO</t>
  </si>
  <si>
    <t>PRECIO_EJERCICIO</t>
  </si>
  <si>
    <t>SETTLEMENT</t>
  </si>
  <si>
    <t>PRECIO</t>
  </si>
  <si>
    <t>MARK_TO_MARKET</t>
  </si>
  <si>
    <t>DERIVADOS</t>
  </si>
  <si>
    <t>Credicorp Capital Asset Management S.A. Administradora General de Fondos</t>
  </si>
  <si>
    <t>99549940-1</t>
  </si>
  <si>
    <t>FWVUP010716</t>
  </si>
  <si>
    <t>FWVUP300816</t>
  </si>
  <si>
    <t>FWVUP180816</t>
  </si>
  <si>
    <t>Monto Rescate</t>
  </si>
  <si>
    <t>Monto Captación</t>
  </si>
  <si>
    <t>Tasa</t>
  </si>
  <si>
    <t>Días</t>
  </si>
  <si>
    <t>Monto Valorizado</t>
  </si>
  <si>
    <t>Unidadaes</t>
  </si>
  <si>
    <t>Valor Cartera 1 (hoy)</t>
  </si>
  <si>
    <t>Valorizacion Hoy</t>
  </si>
  <si>
    <t>Ajuste Sintetico</t>
  </si>
  <si>
    <t>Valor Cartera 2 (hoy)</t>
  </si>
  <si>
    <t>Valor Cartera 3 (hoy)</t>
  </si>
  <si>
    <t>Acumulado</t>
  </si>
  <si>
    <t>Security</t>
  </si>
  <si>
    <t>Resultado Fwd Liquidez</t>
  </si>
  <si>
    <t>Ajuste Sintetico Liquidez</t>
  </si>
  <si>
    <t>Saldo D° y/o Obligación FWD (Balance)</t>
  </si>
  <si>
    <t>Fecha Proceso</t>
  </si>
  <si>
    <t>Total Fluctuacion FWD</t>
  </si>
  <si>
    <t>Fluctuación en Dolares</t>
  </si>
  <si>
    <t>T/C</t>
  </si>
  <si>
    <t>Activo</t>
  </si>
  <si>
    <t>Limite 15%</t>
  </si>
  <si>
    <t>DETALLE FORWARDS VIGENTES</t>
  </si>
  <si>
    <t>Tipo de Operación C/V</t>
  </si>
  <si>
    <t>Spot</t>
  </si>
  <si>
    <t>Puntos x Comision</t>
  </si>
  <si>
    <t>Compra</t>
  </si>
  <si>
    <t>US$</t>
  </si>
  <si>
    <t xml:space="preserve"> =SI(ESNOD(BUSCARV(E6;RA!M:Q;4))=VERDADERO;"0";BUSCARV(E6;RA!M:Q;4;0))</t>
  </si>
  <si>
    <t>Ajuste Sintetico Money Market</t>
  </si>
  <si>
    <t>Resultado Fwd Money Market</t>
  </si>
  <si>
    <t>Validación</t>
  </si>
  <si>
    <t>Valor cartera</t>
  </si>
  <si>
    <t>Valor Sintetico</t>
  </si>
  <si>
    <t>FWVUP091116</t>
  </si>
  <si>
    <t>Valor Cartera 4 (hoy)</t>
  </si>
  <si>
    <t>FWVUP250816</t>
  </si>
  <si>
    <t>Valor Cartera 5 (hoy)</t>
  </si>
  <si>
    <t>BBVA</t>
  </si>
  <si>
    <t>USD</t>
  </si>
  <si>
    <t>TOTALES</t>
  </si>
  <si>
    <t>fecha Operación</t>
  </si>
  <si>
    <t>COMPRAS USD/CLP</t>
  </si>
  <si>
    <t>compra</t>
  </si>
  <si>
    <t>venta</t>
  </si>
  <si>
    <t>FWCUP090816</t>
  </si>
  <si>
    <t>VENTAS USD/CLP</t>
  </si>
  <si>
    <t>FWVUP010217</t>
  </si>
  <si>
    <t>Vence hoy</t>
  </si>
  <si>
    <t>Ya vencio</t>
  </si>
  <si>
    <t>Vence mañana</t>
  </si>
  <si>
    <t>FWV*P070917</t>
  </si>
  <si>
    <t>FWC*P070917</t>
  </si>
  <si>
    <t>FWV*P250917</t>
  </si>
  <si>
    <t>VENTAS EUR/CLP</t>
  </si>
  <si>
    <t>EUR</t>
  </si>
  <si>
    <t>Media</t>
  </si>
  <si>
    <t>Pts Bisk</t>
  </si>
  <si>
    <t>Pts Ask</t>
  </si>
  <si>
    <t>FWVRP271016</t>
  </si>
  <si>
    <t>FWVRP270617</t>
  </si>
  <si>
    <t>FWVRP170717</t>
  </si>
  <si>
    <t>Feriado (2)</t>
  </si>
  <si>
    <t>FWC*P250917</t>
  </si>
  <si>
    <t>401007001001</t>
  </si>
  <si>
    <t>401007001002</t>
  </si>
  <si>
    <t>Fisico</t>
  </si>
  <si>
    <t>FWVUP210317</t>
  </si>
  <si>
    <t>COMPRAS EUR/CLP</t>
  </si>
  <si>
    <t>FWCRP170717</t>
  </si>
  <si>
    <t>FWCUP090217</t>
  </si>
  <si>
    <t>FWVUP100317</t>
  </si>
  <si>
    <t>FWVUP130317</t>
  </si>
  <si>
    <t>FWC*P060917</t>
  </si>
  <si>
    <t>Folio 76192</t>
  </si>
  <si>
    <t>Pagare NR Internac</t>
  </si>
  <si>
    <t>Forward de compra</t>
  </si>
  <si>
    <t>Obligacion FWD</t>
  </si>
  <si>
    <t>FWC*P200917</t>
  </si>
  <si>
    <t>FWC*P210917</t>
  </si>
  <si>
    <t>Folio 76286</t>
  </si>
  <si>
    <t>Pagare NR BICE</t>
  </si>
  <si>
    <t>FWC*P110917</t>
  </si>
  <si>
    <t>FWC*P150917</t>
  </si>
  <si>
    <t>FWV*P160518</t>
  </si>
  <si>
    <t>Folio 76295</t>
  </si>
  <si>
    <t>Pagare NR BCI</t>
  </si>
  <si>
    <t>Folio 76296</t>
  </si>
  <si>
    <t>Pagare NR ITAUCORP</t>
  </si>
  <si>
    <t>FWC*P120917</t>
  </si>
  <si>
    <t>Valor Cartera 6 (hoy)</t>
  </si>
  <si>
    <t>FWV*P170518</t>
  </si>
  <si>
    <t>Folio 76304</t>
  </si>
  <si>
    <t>Pagare NR RIPLEY</t>
  </si>
  <si>
    <t>Folio 76305</t>
  </si>
  <si>
    <t>Pagare NR SCOTIABANK</t>
  </si>
  <si>
    <t>Valor Cartera 7 (hoy)</t>
  </si>
  <si>
    <t>derecho</t>
  </si>
  <si>
    <t>Obligacion</t>
  </si>
  <si>
    <t>Folio 76308</t>
  </si>
  <si>
    <t>FWC*P130917</t>
  </si>
  <si>
    <t>Valor Cartera 8 (hoy)</t>
  </si>
  <si>
    <t>Valor Cartera 9 (hoy)</t>
  </si>
  <si>
    <t>FWC*P121017</t>
  </si>
  <si>
    <t>Folio 76334</t>
  </si>
  <si>
    <t>Pagare NR FALABELLA</t>
  </si>
  <si>
    <t>Folio 76335</t>
  </si>
  <si>
    <t>Pagare NR SANTANDER</t>
  </si>
  <si>
    <t>Vcto. 12-10-2017</t>
  </si>
  <si>
    <t>FWC*P160518</t>
  </si>
  <si>
    <t>FWV*P150917</t>
  </si>
  <si>
    <t>FWC*P170518</t>
  </si>
  <si>
    <t>FWC*P241017</t>
  </si>
  <si>
    <t>Valor Cartera 10 (hoy)</t>
  </si>
  <si>
    <t>Folio 76450</t>
  </si>
  <si>
    <t>Pagare NR CHILE</t>
  </si>
  <si>
    <t>Vcto. 24-10-2017</t>
  </si>
  <si>
    <t>NO MODIFICAR</t>
  </si>
  <si>
    <t>SANTANDER</t>
  </si>
  <si>
    <t>CONTRAPARTE</t>
  </si>
  <si>
    <t>LIQUIDACION</t>
  </si>
  <si>
    <t>VENCIDO</t>
  </si>
  <si>
    <t>FWC*P021017</t>
  </si>
  <si>
    <t>Valor Cartera 11 (hoy)</t>
  </si>
  <si>
    <t>Valor Cartera 12 (hoy)</t>
  </si>
  <si>
    <t>Folio 76633</t>
  </si>
  <si>
    <t>Folio 76634</t>
  </si>
  <si>
    <t>Pagare NR SECURITY</t>
  </si>
  <si>
    <t>FWC*P111017</t>
  </si>
  <si>
    <t>Valor Cartera 13 (hoy)</t>
  </si>
  <si>
    <t>FWC*P191017</t>
  </si>
  <si>
    <t>Valor Cartera 14 (hoy)</t>
  </si>
  <si>
    <t>Folio 76649</t>
  </si>
  <si>
    <t>Folio 76650</t>
  </si>
  <si>
    <t>FWC*P161117</t>
  </si>
  <si>
    <t>Valor Cartera 15 (hoy)</t>
  </si>
  <si>
    <t>Duration Contrato</t>
  </si>
  <si>
    <t>Dias por vencer</t>
  </si>
  <si>
    <t>Folio 76684</t>
  </si>
  <si>
    <t>Vcto. 16-11-2017</t>
  </si>
  <si>
    <t>FWC*P061017</t>
  </si>
  <si>
    <t>Valor Cartera 16 (hoy)</t>
  </si>
  <si>
    <t>Valor Cartera 17 (hoy)</t>
  </si>
  <si>
    <t>Valor Cartera 18 (hoy)</t>
  </si>
  <si>
    <t>Folio 76714</t>
  </si>
  <si>
    <t>Folio 76715</t>
  </si>
  <si>
    <t>Folio 76716</t>
  </si>
  <si>
    <t>Pagare NR BBVA</t>
  </si>
  <si>
    <t>FWC*P021117</t>
  </si>
  <si>
    <t>Valor Cartera 19 (hoy)</t>
  </si>
  <si>
    <t>Folio 76760</t>
  </si>
  <si>
    <t>Vcto. 02-11-2017</t>
  </si>
  <si>
    <t>FWC*P181017</t>
  </si>
  <si>
    <t>Valor Cartera 20 (hoy)</t>
  </si>
  <si>
    <t>Folio 76778</t>
  </si>
  <si>
    <t>FWC*P071117</t>
  </si>
  <si>
    <t>Valor Cartera 21 (hoy)</t>
  </si>
  <si>
    <t>FWC*P280917</t>
  </si>
  <si>
    <t>Valor Cartera 22 (hoy)</t>
  </si>
  <si>
    <t>Folio 76787</t>
  </si>
  <si>
    <t>Folio 76788</t>
  </si>
  <si>
    <t>Pagare NR ESTADO</t>
  </si>
  <si>
    <t>JP Morgan</t>
  </si>
  <si>
    <t>Valor Cartera 23 (hoy)</t>
  </si>
  <si>
    <t>Folio 76876</t>
  </si>
  <si>
    <t>FWC*P020118</t>
  </si>
  <si>
    <t>Valor Cartera 24 (hoy)</t>
  </si>
  <si>
    <t>Folio 76963</t>
  </si>
  <si>
    <t>FWC*P160118</t>
  </si>
  <si>
    <t>Valor Cartera 25 (hoy)</t>
  </si>
  <si>
    <t>Folio 77242</t>
  </si>
  <si>
    <t>Vcto. 16-01-2018</t>
  </si>
  <si>
    <t>FWC*P031117</t>
  </si>
  <si>
    <t>Folio 77416</t>
  </si>
  <si>
    <t>Folio 77465</t>
  </si>
  <si>
    <t>Valor Cartera 26 (hoy)</t>
  </si>
  <si>
    <t>Valor Cartera 27 (hoy)</t>
  </si>
  <si>
    <t>Valor Cartera 28 (hoy)</t>
  </si>
  <si>
    <t>Folio 77507</t>
  </si>
  <si>
    <t>Valor Cartera 29 (hoy)</t>
  </si>
  <si>
    <t>FWC*P201117</t>
  </si>
  <si>
    <t>Valor Cartera 30 (hoy)</t>
  </si>
  <si>
    <t>FWV*P171117</t>
  </si>
  <si>
    <t>Folio 77535</t>
  </si>
  <si>
    <t>Folio 77536</t>
  </si>
  <si>
    <t>FWC*P311017</t>
  </si>
  <si>
    <t>Valor Cartera 31 (hoy)</t>
  </si>
  <si>
    <t>Folio 77547</t>
  </si>
  <si>
    <t>FWC*P080118</t>
  </si>
  <si>
    <t>Valor Cartera 32 (hoy)</t>
  </si>
  <si>
    <t>Valor Cartera 33 (hoy)</t>
  </si>
  <si>
    <t>FWC*P030118</t>
  </si>
  <si>
    <t>Folio 77712</t>
  </si>
  <si>
    <t>Folio 77711</t>
  </si>
  <si>
    <t>Valor Cartera 34 (hoy)</t>
  </si>
  <si>
    <t>folio 77731</t>
  </si>
  <si>
    <t>FWC*P041217</t>
  </si>
  <si>
    <t>FWC*P301117</t>
  </si>
  <si>
    <t>Valor Cartera 35 (hoy)</t>
  </si>
  <si>
    <t>Valor Cartera 36 (hoy)</t>
  </si>
  <si>
    <t>folio 77836</t>
  </si>
  <si>
    <t>folio 77837</t>
  </si>
  <si>
    <t>FWC*P151217</t>
  </si>
  <si>
    <t>FWC*P011217</t>
  </si>
  <si>
    <t>Valor Cartera 37 (hoy)</t>
  </si>
  <si>
    <t>Valor Cartera 38 (hoy)</t>
  </si>
  <si>
    <t>folio 77491</t>
  </si>
  <si>
    <t>folio 77940</t>
  </si>
  <si>
    <t>CITI</t>
  </si>
  <si>
    <t>CHILE</t>
  </si>
  <si>
    <t>vencido</t>
  </si>
  <si>
    <t>FWC*P061217</t>
  </si>
  <si>
    <t>Valor Cartera 39 (hoy)</t>
  </si>
  <si>
    <t>folio 77953</t>
  </si>
  <si>
    <t>Valor Cartera 40 (hoy)</t>
  </si>
  <si>
    <t>folio 78002</t>
  </si>
  <si>
    <t>Fluctruacion valores</t>
  </si>
  <si>
    <t>FWC*P141217</t>
  </si>
  <si>
    <t>Valor Cartera 41 (hoy)</t>
  </si>
  <si>
    <t>FWC*P191217</t>
  </si>
  <si>
    <t>Folio 78254</t>
  </si>
  <si>
    <t>FWC*P271217</t>
  </si>
  <si>
    <t>Valor Cartera 42 (hoy)</t>
  </si>
  <si>
    <t>Folio 78283</t>
  </si>
  <si>
    <t>FWC*P040118</t>
  </si>
  <si>
    <t>Valor Cartera 43 (hoy)</t>
  </si>
  <si>
    <t>Folio 78301</t>
  </si>
  <si>
    <t>FWC*P050118</t>
  </si>
  <si>
    <t>Valor Cartera 44 (hoy)</t>
  </si>
  <si>
    <t>Valor Cartera 45 (hoy)</t>
  </si>
  <si>
    <t>Valor Cartera 46 (hoy)</t>
  </si>
  <si>
    <t>Valor Cartera 47 (hoy)</t>
  </si>
  <si>
    <t>Valor Cartera 48 (hoy)</t>
  </si>
  <si>
    <t>Valor Cartera 49 (hoy)</t>
  </si>
  <si>
    <t>Valor Cartera 50 (hoy)</t>
  </si>
  <si>
    <t>Valor Cartera 51 (hoy)</t>
  </si>
  <si>
    <t>FWC*P201217</t>
  </si>
  <si>
    <t>Valor Cartera 52 (hoy)</t>
  </si>
  <si>
    <t>Valor Cartera 53 (hoy)</t>
  </si>
  <si>
    <t>FWC*P240118</t>
  </si>
  <si>
    <t>FWC*P050218</t>
  </si>
  <si>
    <t>PERDIDA</t>
  </si>
  <si>
    <t>FWC*P290118</t>
  </si>
  <si>
    <t>Valor Cartera 54 (hoy)</t>
  </si>
  <si>
    <t>Valor Cartera 55 (hoy)</t>
  </si>
  <si>
    <t>VTO FWD JP Morgan</t>
  </si>
  <si>
    <t>FWC*P010218</t>
  </si>
  <si>
    <t>Valor Cartera 56 (hoy)</t>
  </si>
  <si>
    <t>Valor Cartera 57 (hoy)</t>
  </si>
  <si>
    <t>FWC*P070318</t>
  </si>
  <si>
    <t>Valor Cartera 58 (hoy)</t>
  </si>
  <si>
    <t>REGULARIZACION CUENTAS  POR ´PAGAR</t>
  </si>
  <si>
    <t>FWC*P010318</t>
  </si>
  <si>
    <t>FWC*P130218</t>
  </si>
  <si>
    <t>FWC*P220218</t>
  </si>
  <si>
    <t>FWC*P030418</t>
  </si>
  <si>
    <t>Vcto. 03-04-2018</t>
  </si>
  <si>
    <t xml:space="preserve"> </t>
  </si>
  <si>
    <t>FWVUP290618</t>
  </si>
  <si>
    <t>JPM</t>
  </si>
  <si>
    <t>FWV*P050219</t>
  </si>
  <si>
    <t>FWVUP010618</t>
  </si>
  <si>
    <t>Vcto. 01-06-2018</t>
  </si>
  <si>
    <t>BCHIUI0611</t>
  </si>
  <si>
    <t>Folio 79942</t>
  </si>
  <si>
    <t>2UF             FORWARD             $$             20180601$$             CLV000009800000000271030000026560940002656740</t>
  </si>
  <si>
    <t xml:space="preserve">FORWARD             </t>
  </si>
  <si>
    <t xml:space="preserve">$$             </t>
  </si>
  <si>
    <t xml:space="preserve">UF             </t>
  </si>
  <si>
    <t>20180307</t>
  </si>
  <si>
    <t>0000988761</t>
  </si>
  <si>
    <t>000000060682</t>
  </si>
  <si>
    <t>0000001006</t>
  </si>
  <si>
    <t>0000000989</t>
  </si>
  <si>
    <t>3</t>
  </si>
  <si>
    <t>4</t>
  </si>
  <si>
    <t>5</t>
  </si>
  <si>
    <t>6</t>
  </si>
  <si>
    <t>7</t>
  </si>
  <si>
    <t>8</t>
  </si>
  <si>
    <t>109954994010000084018FONDO MUTUO CREDICORP CAPITAL LIQUIDEZ                      20180222</t>
  </si>
  <si>
    <t>FWCUP090418</t>
  </si>
  <si>
    <t>FWVUP070518</t>
  </si>
  <si>
    <t>BCENC-E</t>
  </si>
  <si>
    <t>Vcto. 07-05-2018</t>
  </si>
  <si>
    <t>BBNS-R0613</t>
  </si>
  <si>
    <t>FWC*P020418</t>
  </si>
  <si>
    <t>FWC*P020518</t>
  </si>
  <si>
    <t>Vcto. 02-05-2018</t>
  </si>
  <si>
    <t>Vcto. 02-04-2018</t>
  </si>
  <si>
    <t>FWC*P250418</t>
  </si>
  <si>
    <t>Vcto. 25-04-2018</t>
  </si>
  <si>
    <t>Folio 80436</t>
  </si>
  <si>
    <t>FWC*P130618</t>
  </si>
  <si>
    <t>Vcto. 13-06-2018</t>
  </si>
  <si>
    <t>FWC*P180418</t>
  </si>
  <si>
    <t>FWC*P110518</t>
  </si>
  <si>
    <t>FWC*P110618</t>
  </si>
  <si>
    <t>FWC*P240518</t>
  </si>
  <si>
    <t>FWC*P070518</t>
  </si>
  <si>
    <t>FWC*P080618</t>
  </si>
  <si>
    <t>FWC*P050618</t>
  </si>
  <si>
    <t>COMPRAS USD/ARS</t>
  </si>
  <si>
    <t>FWC*E070618</t>
  </si>
  <si>
    <t>Golmand Sachs</t>
  </si>
  <si>
    <t>FWC*P010618</t>
  </si>
  <si>
    <t>FWC*P050219</t>
  </si>
  <si>
    <t>T/C Peso ARG</t>
  </si>
  <si>
    <t>27080,94</t>
  </si>
  <si>
    <t>Mark to Market</t>
  </si>
  <si>
    <t>valorizacion mark to market</t>
  </si>
  <si>
    <t>Ya veocio</t>
  </si>
  <si>
    <t>Veoce hoy</t>
  </si>
  <si>
    <t>Veoce mañaoa</t>
  </si>
  <si>
    <t>FIXIoG DATE</t>
  </si>
  <si>
    <t>Cootraparte</t>
  </si>
  <si>
    <t>Fecha Operacióo</t>
  </si>
  <si>
    <t>Fecha Veocto.</t>
  </si>
  <si>
    <t>Mooeda</t>
  </si>
  <si>
    <t>Tipo Cootrato</t>
  </si>
  <si>
    <t>Mooto Cootrato</t>
  </si>
  <si>
    <t>MXoCLP</t>
  </si>
  <si>
    <t>Saotaoder</t>
  </si>
  <si>
    <t>MXo</t>
  </si>
  <si>
    <t>fecha Operacióo</t>
  </si>
  <si>
    <t>Resultado Final</t>
  </si>
  <si>
    <t>Mark to Mark</t>
  </si>
  <si>
    <t>Mark</t>
  </si>
  <si>
    <t>FWVUP030718</t>
  </si>
  <si>
    <t>FWV*P130618</t>
  </si>
  <si>
    <t>FWV*P290618</t>
  </si>
  <si>
    <t>FWC*P290618</t>
  </si>
  <si>
    <t>FWV*P030818</t>
  </si>
  <si>
    <t>FWV*P100818</t>
  </si>
  <si>
    <t>FWV*P140818</t>
  </si>
  <si>
    <t>FWC*P140818</t>
  </si>
  <si>
    <t>FWV*P240918</t>
  </si>
  <si>
    <t>FWV*P031018</t>
  </si>
  <si>
    <t>FWV*P121218</t>
  </si>
  <si>
    <t>FWC*P121218</t>
  </si>
  <si>
    <t>FWV*P050519</t>
  </si>
  <si>
    <t>FWV*P050419</t>
  </si>
  <si>
    <t>Valor M_Market</t>
  </si>
  <si>
    <t>FWC*P310518</t>
  </si>
  <si>
    <t>,</t>
  </si>
  <si>
    <t>FWV*P071118</t>
  </si>
  <si>
    <t>FWC*P040618</t>
  </si>
  <si>
    <t>16-05-2018</t>
  </si>
  <si>
    <t>27139,947</t>
  </si>
  <si>
    <t>-33,839795527769</t>
  </si>
  <si>
    <t>22,035555224073</t>
  </si>
  <si>
    <t>30,02669039146</t>
  </si>
  <si>
    <t>23,034447119993</t>
  </si>
  <si>
    <t>27147,566</t>
  </si>
  <si>
    <t>2,425578391827</t>
  </si>
  <si>
    <t>644,35</t>
  </si>
  <si>
    <t>632,73</t>
  </si>
  <si>
    <t>-11,62</t>
  </si>
  <si>
    <t>641,54</t>
  </si>
  <si>
    <t>630,89</t>
  </si>
  <si>
    <t>-10,64929004733</t>
  </si>
  <si>
    <t>620,18</t>
  </si>
  <si>
    <t>631,467</t>
  </si>
  <si>
    <t>11,045039990606</t>
  </si>
  <si>
    <t>22,7</t>
  </si>
  <si>
    <t>25,094</t>
  </si>
  <si>
    <t>60,113440396138</t>
  </si>
  <si>
    <t>652,95</t>
  </si>
  <si>
    <t>20,22</t>
  </si>
  <si>
    <t>649,35</t>
  </si>
  <si>
    <t>18,458769415372</t>
  </si>
  <si>
    <t>607,7</t>
  </si>
  <si>
    <t>-23,257505577809</t>
  </si>
  <si>
    <t>609,4</t>
  </si>
  <si>
    <t>-21,593948566731</t>
  </si>
  <si>
    <t>606,5</t>
  </si>
  <si>
    <t>-24,43178111504</t>
  </si>
  <si>
    <t>602,85</t>
  </si>
  <si>
    <t>-28,003535874118</t>
  </si>
  <si>
    <t>600,4</t>
  </si>
  <si>
    <t>-30,401015095964</t>
  </si>
  <si>
    <t>605,5</t>
  </si>
  <si>
    <t>630,889</t>
  </si>
  <si>
    <t>25,338862836734</t>
  </si>
  <si>
    <t>603,07</t>
  </si>
  <si>
    <t>630,891</t>
  </si>
  <si>
    <t>27,76997729505</t>
  </si>
  <si>
    <t>593,85</t>
  </si>
  <si>
    <t>630,917</t>
  </si>
  <si>
    <t>37,046846515496</t>
  </si>
  <si>
    <t>614,13</t>
  </si>
  <si>
    <t>630,895</t>
  </si>
  <si>
    <t>16,737923618892</t>
  </si>
  <si>
    <t>619,13</t>
  </si>
  <si>
    <t>630,899</t>
  </si>
  <si>
    <t>11,752624676284</t>
  </si>
  <si>
    <t>620,04</t>
  </si>
  <si>
    <t>630,904</t>
  </si>
  <si>
    <t>10,851961557313</t>
  </si>
  <si>
    <t>631,53</t>
  </si>
  <si>
    <t>-0,62530632684798</t>
  </si>
  <si>
    <t>671,25</t>
  </si>
  <si>
    <t>40,281296740849</t>
  </si>
  <si>
    <t>671,7</t>
  </si>
  <si>
    <t>630,875</t>
  </si>
  <si>
    <t>40,696074834923</t>
  </si>
  <si>
    <t>635,46</t>
  </si>
  <si>
    <t>4,5705205907685</t>
  </si>
  <si>
    <t>634,48</t>
  </si>
  <si>
    <t>-3,5936154263294</t>
  </si>
  <si>
    <t>657,38</t>
  </si>
  <si>
    <t>26,350952332663</t>
  </si>
  <si>
    <t>629,25</t>
  </si>
  <si>
    <t>-1,6155554627647</t>
  </si>
  <si>
    <t>654,7</t>
  </si>
  <si>
    <t>630,88</t>
  </si>
  <si>
    <t>23,668693929275</t>
  </si>
  <si>
    <t>654,07</t>
  </si>
  <si>
    <t>630,883</t>
  </si>
  <si>
    <t>23,032909833216</t>
  </si>
  <si>
    <t>635,33</t>
  </si>
  <si>
    <t>-4,4174472777122</t>
  </si>
  <si>
    <t>604,7</t>
  </si>
  <si>
    <t>630,944</t>
  </si>
  <si>
    <t>-25,985290448297</t>
  </si>
  <si>
    <t>646,03</t>
  </si>
  <si>
    <t>630,964</t>
  </si>
  <si>
    <t>14,906697097023</t>
  </si>
  <si>
    <t>642,8</t>
  </si>
  <si>
    <t>631,196</t>
  </si>
  <si>
    <t>11,413059514325</t>
  </si>
  <si>
    <t>619,7</t>
  </si>
  <si>
    <t>-11,306836623292</t>
  </si>
  <si>
    <t>598,7</t>
  </si>
  <si>
    <t>-31,96128765749</t>
  </si>
  <si>
    <t>660,4</t>
  </si>
  <si>
    <t>-28,723456571558</t>
  </si>
  <si>
    <t>600,75</t>
  </si>
  <si>
    <t>29,945019818438</t>
  </si>
  <si>
    <t>632,052</t>
  </si>
  <si>
    <t>-21,967663351281</t>
  </si>
  <si>
    <t>-28,31978214657</t>
  </si>
  <si>
    <t>603,5</t>
  </si>
  <si>
    <t>631,836</t>
  </si>
  <si>
    <t>-27,564953131019</t>
  </si>
  <si>
    <t>-11,045039990606</t>
  </si>
  <si>
    <t>617,9</t>
  </si>
  <si>
    <t>630,906</t>
  </si>
  <si>
    <t>12,992552707947</t>
  </si>
  <si>
    <t>620</t>
  </si>
  <si>
    <t>631,064</t>
  </si>
  <si>
    <t>-10,915010111972</t>
  </si>
  <si>
    <t>624</t>
  </si>
  <si>
    <t>630,9</t>
  </si>
  <si>
    <t>6,8908787734636</t>
  </si>
  <si>
    <t>630,46</t>
  </si>
  <si>
    <t>-0,72388933148432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</si>
</sst>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-* #,##0.00_-;\-* #,##0.00_-;_-* &quot;-&quot;??_-;_-@_-"/>
    <numFmt numFmtId="164" formatCode="_ * #,##0_ ;_ * \-#,##0_ ;_ * &quot;-&quot;_ ;_ @_ "/>
    <numFmt numFmtId="165" formatCode="_ * #,##0.00_ ;_ * \-#,##0.00_ ;_ * &quot;-&quot;??_ ;_ @_ "/>
    <numFmt numFmtId="166" formatCode="#,##0.0000"/>
    <numFmt numFmtId="167" formatCode="#,##0;\(#,##0\)"/>
    <numFmt numFmtId="168" formatCode="_-* #,##0_-;\-* #,##0_-;_-* &quot;-&quot;??_-;_-@_-"/>
    <numFmt numFmtId="169" formatCode="0.00000%"/>
    <numFmt numFmtId="170" formatCode="[$-340A]d&quot; de &quot;mmmm&quot; de &quot;yyyy;@"/>
    <numFmt numFmtId="171" formatCode="_-* #,##0.00\ _€_-;\-* #,##0.00\ _€_-;_-* &quot;-&quot;??\ _€_-;_-@_-"/>
    <numFmt numFmtId="172" formatCode="_-* #,##0\ _€_-;\-* #,##0\ _€_-;_-* &quot;-&quot;??\ _€_-;_-@_-"/>
    <numFmt numFmtId="173" formatCode="dd/mm/yyyy;@"/>
    <numFmt numFmtId="174" formatCode="dd/mm/yy;@"/>
    <numFmt numFmtId="175" formatCode="#,##0.00_ ;\-#,##0.00\ "/>
    <numFmt numFmtId="176" formatCode="_-* #,##0.0000\ _€_-;\-* #,##0.0000\ _€_-;_-* &quot;-&quot;??\ _€_-;_-@_-"/>
    <numFmt numFmtId="177" formatCode="#,##0_ ;\-#,##0\ "/>
    <numFmt numFmtId="178" formatCode="_-* #,##0.000000_-;\-* #,##0.000000_-;_-* &quot;-&quot;??_-;_-@_-"/>
    <numFmt numFmtId="179" formatCode="_-* #,##0.0000_-;\-* #,##0.0000_-;_-* &quot;-&quot;??_-;_-@_-"/>
    <numFmt numFmtId="180" formatCode="0.00000"/>
    <numFmt numFmtId="181" formatCode="_-* #,##0.00000_-;\-* #,##0.00000_-;_-* &quot;-&quot;??_-;_-@_-"/>
    <numFmt numFmtId="182" formatCode="0.0000%"/>
    <numFmt numFmtId="183" formatCode="_ * #,##0.00_ ;_ * \-#,##0.00_ ;_ * &quot;-&quot;_ ;_ @_ "/>
    <numFmt numFmtId="184" formatCode="yyyymmdd"/>
    <numFmt numFmtId="185" formatCode="_ * #,##0.000_ ;_ * \-#,##0.000_ ;_ * &quot;-&quot;_ ;_ @_ "/>
    <numFmt numFmtId="186" formatCode="#,##0.00000000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9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9"/>
      <color indexed="9"/>
      <name val="Calibri"/>
      <family val="2"/>
    </font>
    <font>
      <b/>
      <sz val="11"/>
      <color indexed="13"/>
      <name val="Calibri"/>
      <family val="2"/>
    </font>
    <font>
      <sz val="9"/>
      <name val="Calibri"/>
      <family val="2"/>
    </font>
    <font>
      <b/>
      <sz val="9"/>
      <color theme="1"/>
      <name val="Calibri"/>
      <family val="2"/>
      <scheme val="minor"/>
    </font>
    <font>
      <b/>
      <sz val="9"/>
      <name val="Calibri"/>
      <family val="2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u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8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000000"/>
      <name val="Courier New"/>
      <family val="3"/>
    </font>
    <font>
      <sz val="11"/>
      <name val="Arial"/>
      <family val="2"/>
    </font>
    <font>
      <b/>
      <sz val="9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  <fill>
      <patternFill patternType="solid">
        <fgColor indexed="29"/>
        <bgColor indexed="2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2"/>
        <bgColor indexed="62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rgb="FF99CCFF"/>
        <bgColor indexed="44"/>
      </patternFill>
    </fill>
    <fill>
      <patternFill patternType="solid">
        <fgColor rgb="FFFFFF00"/>
        <bgColor indexed="29"/>
      </patternFill>
    </fill>
    <fill>
      <patternFill patternType="solid">
        <fgColor indexed="31"/>
        <bgColor indexed="31"/>
      </patternFill>
    </fill>
    <fill>
      <patternFill patternType="solid">
        <fgColor rgb="FFFFC000"/>
        <bgColor indexed="6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44"/>
      </patternFill>
    </fill>
    <fill>
      <patternFill patternType="solid">
        <fgColor theme="4" tint="0.39997558519241921"/>
        <bgColor indexed="4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2"/>
      </patternFill>
    </fill>
  </fills>
  <borders count="18">
    <border>
      <left/>
      <right/>
      <top/>
      <bottom/>
      <diagonal/>
    </border>
    <border>
      <left/>
      <right style="thin">
        <color indexed="9"/>
      </right>
      <top/>
      <bottom style="thick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10" fillId="0" borderId="0"/>
    <xf numFmtId="164" fontId="1" fillId="0" borderId="0" applyFont="0" applyFill="0" applyBorder="0" applyAlignment="0" applyProtection="0"/>
  </cellStyleXfs>
  <cellXfs count="348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166" fontId="4" fillId="2" borderId="1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166" fontId="0" fillId="0" borderId="0" xfId="0" applyNumberFormat="1"/>
    <xf numFmtId="0" fontId="0" fillId="0" borderId="4" xfId="0" applyFont="1" applyBorder="1"/>
    <xf numFmtId="0" fontId="0" fillId="5" borderId="0" xfId="0" applyFill="1"/>
    <xf numFmtId="0" fontId="0" fillId="0" borderId="5" xfId="0" applyBorder="1"/>
    <xf numFmtId="43" fontId="3" fillId="6" borderId="5" xfId="1" applyNumberFormat="1" applyFont="1" applyFill="1" applyBorder="1" applyAlignment="1">
      <alignment horizontal="right" vertical="center"/>
    </xf>
    <xf numFmtId="43" fontId="3" fillId="7" borderId="5" xfId="1" applyNumberFormat="1" applyFont="1" applyFill="1" applyBorder="1" applyAlignment="1">
      <alignment horizontal="right" vertical="center"/>
    </xf>
    <xf numFmtId="169" fontId="3" fillId="7" borderId="5" xfId="2" applyNumberFormat="1" applyFont="1" applyFill="1" applyBorder="1" applyAlignment="1">
      <alignment horizontal="right" vertical="center"/>
    </xf>
    <xf numFmtId="168" fontId="3" fillId="7" borderId="5" xfId="1" applyNumberFormat="1" applyFont="1" applyFill="1" applyBorder="1" applyAlignment="1">
      <alignment horizontal="right" vertical="center"/>
    </xf>
    <xf numFmtId="0" fontId="0" fillId="0" borderId="6" xfId="0" applyBorder="1"/>
    <xf numFmtId="43" fontId="0" fillId="0" borderId="6" xfId="0" applyNumberFormat="1" applyFill="1" applyBorder="1"/>
    <xf numFmtId="16" fontId="0" fillId="0" borderId="0" xfId="0" applyNumberFormat="1" applyFill="1"/>
    <xf numFmtId="43" fontId="0" fillId="0" borderId="0" xfId="0" applyNumberFormat="1"/>
    <xf numFmtId="4" fontId="0" fillId="0" borderId="0" xfId="0" applyNumberFormat="1"/>
    <xf numFmtId="43" fontId="0" fillId="0" borderId="6" xfId="0" applyNumberFormat="1" applyBorder="1"/>
    <xf numFmtId="16" fontId="0" fillId="0" borderId="0" xfId="0" applyNumberFormat="1"/>
    <xf numFmtId="168" fontId="0" fillId="0" borderId="0" xfId="0" applyNumberFormat="1"/>
    <xf numFmtId="14" fontId="0" fillId="0" borderId="0" xfId="0" applyNumberFormat="1"/>
    <xf numFmtId="4" fontId="9" fillId="0" borderId="6" xfId="0" applyNumberFormat="1" applyFont="1" applyFill="1" applyBorder="1" applyAlignment="1">
      <alignment horizontal="center" vertical="center"/>
    </xf>
    <xf numFmtId="0" fontId="0" fillId="0" borderId="6" xfId="0" applyFill="1" applyBorder="1"/>
    <xf numFmtId="0" fontId="0" fillId="9" borderId="6" xfId="0" applyFill="1" applyBorder="1"/>
    <xf numFmtId="4" fontId="0" fillId="9" borderId="6" xfId="0" applyNumberFormat="1" applyFill="1" applyBorder="1"/>
    <xf numFmtId="4" fontId="0" fillId="0" borderId="0" xfId="0" applyNumberFormat="1" applyFill="1"/>
    <xf numFmtId="0" fontId="0" fillId="0" borderId="0" xfId="0" applyFill="1"/>
    <xf numFmtId="0" fontId="0" fillId="10" borderId="6" xfId="0" applyFill="1" applyBorder="1"/>
    <xf numFmtId="3" fontId="0" fillId="10" borderId="6" xfId="0" applyNumberFormat="1" applyFill="1" applyBorder="1"/>
    <xf numFmtId="0" fontId="3" fillId="0" borderId="0" xfId="0" applyFont="1"/>
    <xf numFmtId="43" fontId="3" fillId="0" borderId="0" xfId="0" applyNumberFormat="1" applyFont="1"/>
    <xf numFmtId="0" fontId="3" fillId="0" borderId="0" xfId="0" applyFont="1" applyAlignment="1">
      <alignment horizontal="center"/>
    </xf>
    <xf numFmtId="4" fontId="3" fillId="0" borderId="0" xfId="0" applyNumberFormat="1" applyFont="1" applyFill="1"/>
    <xf numFmtId="168" fontId="0" fillId="0" borderId="0" xfId="1" applyNumberFormat="1" applyFont="1"/>
    <xf numFmtId="167" fontId="0" fillId="0" borderId="0" xfId="0" applyNumberFormat="1" applyFill="1"/>
    <xf numFmtId="168" fontId="0" fillId="0" borderId="0" xfId="1" applyNumberFormat="1" applyFont="1" applyFill="1"/>
    <xf numFmtId="0" fontId="0" fillId="0" borderId="0" xfId="0"/>
    <xf numFmtId="49" fontId="0" fillId="0" borderId="0" xfId="0" applyNumberFormat="1"/>
    <xf numFmtId="167" fontId="0" fillId="0" borderId="0" xfId="0" applyNumberFormat="1"/>
    <xf numFmtId="166" fontId="3" fillId="0" borderId="0" xfId="0" applyNumberFormat="1" applyFont="1"/>
    <xf numFmtId="43" fontId="0" fillId="0" borderId="6" xfId="1" applyFont="1" applyBorder="1"/>
    <xf numFmtId="1" fontId="0" fillId="0" borderId="0" xfId="0" applyNumberFormat="1"/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14" fontId="12" fillId="0" borderId="0" xfId="0" applyNumberFormat="1" applyFont="1" applyProtection="1">
      <protection locked="0"/>
    </xf>
    <xf numFmtId="0" fontId="6" fillId="0" borderId="0" xfId="0" applyFont="1" applyProtection="1">
      <protection locked="0"/>
    </xf>
    <xf numFmtId="0" fontId="12" fillId="0" borderId="0" xfId="0" applyFont="1" applyProtection="1">
      <protection locked="0"/>
    </xf>
    <xf numFmtId="166" fontId="12" fillId="0" borderId="0" xfId="0" applyNumberFormat="1" applyFont="1"/>
    <xf numFmtId="0" fontId="4" fillId="2" borderId="7" xfId="0" applyFont="1" applyFill="1" applyBorder="1" applyAlignment="1">
      <alignment horizontal="center" vertical="center" wrapText="1"/>
    </xf>
    <xf numFmtId="166" fontId="4" fillId="2" borderId="7" xfId="0" applyNumberFormat="1" applyFont="1" applyFill="1" applyBorder="1" applyAlignment="1">
      <alignment horizontal="center" vertical="center" wrapText="1"/>
    </xf>
    <xf numFmtId="166" fontId="4" fillId="2" borderId="0" xfId="0" applyNumberFormat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16" fontId="5" fillId="0" borderId="6" xfId="0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14" fontId="5" fillId="0" borderId="6" xfId="0" applyNumberFormat="1" applyFont="1" applyFill="1" applyBorder="1" applyAlignment="1">
      <alignment horizontal="center"/>
    </xf>
    <xf numFmtId="3" fontId="5" fillId="0" borderId="6" xfId="0" applyNumberFormat="1" applyFont="1" applyFill="1" applyBorder="1"/>
    <xf numFmtId="14" fontId="12" fillId="0" borderId="6" xfId="0" applyNumberFormat="1" applyFont="1" applyFill="1" applyBorder="1" applyProtection="1"/>
    <xf numFmtId="43" fontId="5" fillId="0" borderId="6" xfId="1" applyNumberFormat="1" applyFont="1" applyFill="1" applyBorder="1"/>
    <xf numFmtId="166" fontId="5" fillId="0" borderId="6" xfId="1" applyNumberFormat="1" applyFont="1" applyFill="1" applyBorder="1"/>
    <xf numFmtId="167" fontId="6" fillId="0" borderId="6" xfId="0" applyNumberFormat="1" applyFont="1" applyFill="1" applyBorder="1"/>
    <xf numFmtId="14" fontId="12" fillId="0" borderId="6" xfId="0" applyNumberFormat="1" applyFont="1" applyBorder="1" applyProtection="1"/>
    <xf numFmtId="168" fontId="5" fillId="0" borderId="6" xfId="1" applyNumberFormat="1" applyFont="1" applyFill="1" applyBorder="1"/>
    <xf numFmtId="43" fontId="0" fillId="0" borderId="0" xfId="1" applyFont="1"/>
    <xf numFmtId="0" fontId="0" fillId="11" borderId="0" xfId="0" applyFill="1"/>
    <xf numFmtId="168" fontId="0" fillId="0" borderId="6" xfId="0" applyNumberFormat="1" applyBorder="1"/>
    <xf numFmtId="182" fontId="3" fillId="7" borderId="5" xfId="2" applyNumberFormat="1" applyFont="1" applyFill="1" applyBorder="1" applyAlignment="1">
      <alignment horizontal="right" vertical="center"/>
    </xf>
    <xf numFmtId="43" fontId="5" fillId="0" borderId="6" xfId="1" applyFont="1" applyFill="1" applyBorder="1"/>
    <xf numFmtId="0" fontId="13" fillId="0" borderId="0" xfId="0" applyFont="1"/>
    <xf numFmtId="168" fontId="9" fillId="0" borderId="6" xfId="1" applyNumberFormat="1" applyFont="1" applyFill="1" applyBorder="1" applyAlignment="1">
      <alignment horizontal="center" vertical="center"/>
    </xf>
    <xf numFmtId="3" fontId="0" fillId="5" borderId="0" xfId="0" applyNumberFormat="1" applyFill="1"/>
    <xf numFmtId="43" fontId="0" fillId="5" borderId="0" xfId="0" applyNumberFormat="1" applyFill="1"/>
    <xf numFmtId="4" fontId="0" fillId="11" borderId="0" xfId="0" applyNumberFormat="1" applyFill="1"/>
    <xf numFmtId="0" fontId="14" fillId="0" borderId="0" xfId="0" applyFont="1" applyProtection="1">
      <protection locked="0"/>
    </xf>
    <xf numFmtId="0" fontId="14" fillId="0" borderId="0" xfId="0" applyFont="1"/>
    <xf numFmtId="0" fontId="15" fillId="12" borderId="6" xfId="0" applyFont="1" applyFill="1" applyBorder="1" applyAlignment="1">
      <alignment horizontal="center" vertical="center" wrapText="1"/>
    </xf>
    <xf numFmtId="4" fontId="14" fillId="0" borderId="0" xfId="0" applyNumberFormat="1" applyFont="1"/>
    <xf numFmtId="3" fontId="16" fillId="11" borderId="0" xfId="0" applyNumberFormat="1" applyFont="1" applyFill="1"/>
    <xf numFmtId="14" fontId="17" fillId="13" borderId="6" xfId="0" applyNumberFormat="1" applyFont="1" applyFill="1" applyBorder="1" applyAlignment="1" applyProtection="1">
      <alignment horizontal="center" vertical="center"/>
      <protection locked="0"/>
    </xf>
    <xf numFmtId="4" fontId="18" fillId="13" borderId="6" xfId="0" applyNumberFormat="1" applyFont="1" applyFill="1" applyBorder="1" applyAlignment="1">
      <alignment horizontal="center" vertical="center"/>
    </xf>
    <xf numFmtId="4" fontId="18" fillId="5" borderId="6" xfId="0" applyNumberFormat="1" applyFont="1" applyFill="1" applyBorder="1" applyAlignment="1">
      <alignment horizontal="center" vertical="center"/>
    </xf>
    <xf numFmtId="2" fontId="14" fillId="0" borderId="0" xfId="0" applyNumberFormat="1" applyFont="1"/>
    <xf numFmtId="4" fontId="18" fillId="11" borderId="6" xfId="0" applyNumberFormat="1" applyFont="1" applyFill="1" applyBorder="1" applyAlignment="1" applyProtection="1">
      <alignment horizontal="center" vertical="center"/>
      <protection locked="0"/>
    </xf>
    <xf numFmtId="10" fontId="16" fillId="11" borderId="0" xfId="2" applyNumberFormat="1" applyFont="1" applyFill="1"/>
    <xf numFmtId="43" fontId="14" fillId="0" borderId="0" xfId="1" applyFont="1" applyProtection="1">
      <protection locked="0"/>
    </xf>
    <xf numFmtId="3" fontId="14" fillId="0" borderId="0" xfId="0" applyNumberFormat="1" applyFont="1"/>
    <xf numFmtId="2" fontId="14" fillId="0" borderId="0" xfId="0" applyNumberFormat="1" applyFont="1" applyProtection="1">
      <protection locked="0"/>
    </xf>
    <xf numFmtId="170" fontId="20" fillId="12" borderId="6" xfId="3" applyFont="1" applyFill="1" applyBorder="1" applyAlignment="1">
      <alignment horizontal="center" vertical="center" wrapText="1"/>
    </xf>
    <xf numFmtId="170" fontId="20" fillId="12" borderId="6" xfId="3" applyFont="1" applyFill="1" applyBorder="1" applyAlignment="1" applyProtection="1">
      <alignment horizontal="center" vertical="center" wrapText="1"/>
      <protection locked="0"/>
    </xf>
    <xf numFmtId="4" fontId="20" fillId="12" borderId="6" xfId="3" applyNumberFormat="1" applyFont="1" applyFill="1" applyBorder="1" applyAlignment="1">
      <alignment horizontal="center" vertical="center" wrapText="1"/>
    </xf>
    <xf numFmtId="3" fontId="20" fillId="12" borderId="6" xfId="3" applyNumberFormat="1" applyFont="1" applyFill="1" applyBorder="1" applyAlignment="1">
      <alignment horizontal="center" vertical="center" wrapText="1"/>
    </xf>
    <xf numFmtId="0" fontId="14" fillId="0" borderId="0" xfId="0" applyFont="1" applyFill="1" applyProtection="1">
      <protection locked="0"/>
    </xf>
    <xf numFmtId="170" fontId="20" fillId="0" borderId="0" xfId="3" applyFont="1" applyFill="1" applyBorder="1" applyAlignment="1">
      <alignment horizontal="center" vertical="center" wrapText="1"/>
    </xf>
    <xf numFmtId="170" fontId="20" fillId="0" borderId="0" xfId="3" applyFont="1" applyFill="1" applyBorder="1" applyAlignment="1" applyProtection="1">
      <alignment horizontal="center" vertical="center" wrapText="1"/>
      <protection locked="0"/>
    </xf>
    <xf numFmtId="4" fontId="20" fillId="0" borderId="0" xfId="3" applyNumberFormat="1" applyFont="1" applyFill="1" applyBorder="1" applyAlignment="1">
      <alignment horizontal="center" vertical="center" wrapText="1"/>
    </xf>
    <xf numFmtId="3" fontId="20" fillId="0" borderId="0" xfId="3" applyNumberFormat="1" applyFont="1" applyFill="1" applyBorder="1" applyAlignment="1">
      <alignment horizontal="center" vertical="center" wrapText="1"/>
    </xf>
    <xf numFmtId="0" fontId="14" fillId="0" borderId="0" xfId="0" applyFont="1" applyFill="1"/>
    <xf numFmtId="0" fontId="16" fillId="0" borderId="0" xfId="0" applyFont="1" applyProtection="1">
      <protection locked="0"/>
    </xf>
    <xf numFmtId="172" fontId="16" fillId="0" borderId="0" xfId="1" applyNumberFormat="1" applyFont="1" applyAlignment="1" applyProtection="1">
      <alignment horizontal="right"/>
      <protection locked="0"/>
    </xf>
    <xf numFmtId="172" fontId="16" fillId="0" borderId="0" xfId="1" applyNumberFormat="1" applyFont="1" applyProtection="1">
      <protection locked="0"/>
    </xf>
    <xf numFmtId="16" fontId="21" fillId="14" borderId="0" xfId="3" applyNumberFormat="1" applyFont="1" applyFill="1" applyBorder="1" applyAlignment="1" applyProtection="1">
      <alignment horizontal="center"/>
      <protection locked="0"/>
    </xf>
    <xf numFmtId="14" fontId="21" fillId="14" borderId="0" xfId="3" applyNumberFormat="1" applyFont="1" applyFill="1" applyBorder="1" applyAlignment="1" applyProtection="1">
      <protection locked="0"/>
    </xf>
    <xf numFmtId="173" fontId="21" fillId="15" borderId="0" xfId="3" applyNumberFormat="1" applyFont="1" applyFill="1" applyBorder="1" applyAlignment="1" applyProtection="1">
      <alignment horizontal="center"/>
      <protection locked="0"/>
    </xf>
    <xf numFmtId="166" fontId="21" fillId="15" borderId="0" xfId="3" applyNumberFormat="1" applyFont="1" applyFill="1" applyBorder="1" applyAlignment="1" applyProtection="1">
      <protection locked="0"/>
    </xf>
    <xf numFmtId="168" fontId="21" fillId="15" borderId="0" xfId="1" applyNumberFormat="1" applyFont="1" applyFill="1" applyBorder="1" applyAlignment="1" applyProtection="1">
      <protection locked="0"/>
    </xf>
    <xf numFmtId="4" fontId="21" fillId="15" borderId="0" xfId="3" applyNumberFormat="1" applyFont="1" applyFill="1" applyBorder="1" applyAlignment="1" applyProtection="1">
      <alignment horizontal="center"/>
      <protection locked="0"/>
    </xf>
    <xf numFmtId="4" fontId="21" fillId="15" borderId="2" xfId="3" applyNumberFormat="1" applyFont="1" applyFill="1" applyBorder="1" applyAlignment="1" applyProtection="1">
      <protection locked="0"/>
    </xf>
    <xf numFmtId="3" fontId="21" fillId="14" borderId="2" xfId="3" applyNumberFormat="1" applyFont="1" applyFill="1" applyBorder="1" applyAlignment="1">
      <alignment horizontal="right"/>
    </xf>
    <xf numFmtId="4" fontId="21" fillId="14" borderId="2" xfId="3" applyNumberFormat="1" applyFont="1" applyFill="1" applyBorder="1" applyAlignment="1"/>
    <xf numFmtId="3" fontId="21" fillId="14" borderId="2" xfId="3" applyNumberFormat="1" applyFont="1" applyFill="1" applyBorder="1" applyAlignment="1"/>
    <xf numFmtId="4" fontId="21" fillId="14" borderId="2" xfId="3" applyNumberFormat="1" applyFont="1" applyFill="1" applyBorder="1" applyAlignment="1" applyProtection="1">
      <alignment horizontal="center"/>
      <protection locked="0"/>
    </xf>
    <xf numFmtId="4" fontId="21" fillId="14" borderId="2" xfId="3" applyNumberFormat="1" applyFont="1" applyFill="1" applyBorder="1" applyAlignment="1" applyProtection="1">
      <protection locked="0"/>
    </xf>
    <xf numFmtId="0" fontId="16" fillId="0" borderId="0" xfId="0" applyFont="1"/>
    <xf numFmtId="172" fontId="14" fillId="0" borderId="0" xfId="1" applyNumberFormat="1" applyFont="1" applyAlignment="1" applyProtection="1">
      <alignment horizontal="right"/>
      <protection locked="0"/>
    </xf>
    <xf numFmtId="172" fontId="14" fillId="0" borderId="0" xfId="1" applyNumberFormat="1" applyFont="1" applyProtection="1">
      <protection locked="0"/>
    </xf>
    <xf numFmtId="16" fontId="22" fillId="14" borderId="0" xfId="3" applyNumberFormat="1" applyFont="1" applyFill="1" applyBorder="1" applyAlignment="1" applyProtection="1">
      <alignment horizontal="center"/>
      <protection locked="0"/>
    </xf>
    <xf numFmtId="14" fontId="22" fillId="14" borderId="0" xfId="3" applyNumberFormat="1" applyFont="1" applyFill="1" applyBorder="1" applyAlignment="1" applyProtection="1">
      <protection locked="0"/>
    </xf>
    <xf numFmtId="173" fontId="22" fillId="15" borderId="0" xfId="3" applyNumberFormat="1" applyFont="1" applyFill="1" applyBorder="1" applyAlignment="1" applyProtection="1">
      <alignment horizontal="center"/>
      <protection locked="0"/>
    </xf>
    <xf numFmtId="166" fontId="22" fillId="15" borderId="0" xfId="3" applyNumberFormat="1" applyFont="1" applyFill="1" applyBorder="1" applyAlignment="1" applyProtection="1">
      <protection locked="0"/>
    </xf>
    <xf numFmtId="168" fontId="22" fillId="15" borderId="0" xfId="1" applyNumberFormat="1" applyFont="1" applyFill="1" applyBorder="1" applyAlignment="1" applyProtection="1">
      <protection locked="0"/>
    </xf>
    <xf numFmtId="4" fontId="22" fillId="15" borderId="0" xfId="3" applyNumberFormat="1" applyFont="1" applyFill="1" applyBorder="1" applyAlignment="1" applyProtection="1">
      <alignment horizontal="center"/>
      <protection locked="0"/>
    </xf>
    <xf numFmtId="4" fontId="22" fillId="15" borderId="2" xfId="3" applyNumberFormat="1" applyFont="1" applyFill="1" applyBorder="1" applyAlignment="1" applyProtection="1">
      <protection locked="0"/>
    </xf>
    <xf numFmtId="3" fontId="22" fillId="14" borderId="2" xfId="3" applyNumberFormat="1" applyFont="1" applyFill="1" applyBorder="1" applyAlignment="1">
      <alignment horizontal="right"/>
    </xf>
    <xf numFmtId="4" fontId="22" fillId="14" borderId="2" xfId="3" applyNumberFormat="1" applyFont="1" applyFill="1" applyBorder="1" applyAlignment="1"/>
    <xf numFmtId="3" fontId="22" fillId="14" borderId="2" xfId="3" applyNumberFormat="1" applyFont="1" applyFill="1" applyBorder="1" applyAlignment="1"/>
    <xf numFmtId="4" fontId="22" fillId="14" borderId="2" xfId="3" applyNumberFormat="1" applyFont="1" applyFill="1" applyBorder="1" applyAlignment="1" applyProtection="1">
      <alignment horizontal="center"/>
      <protection locked="0"/>
    </xf>
    <xf numFmtId="4" fontId="22" fillId="14" borderId="2" xfId="3" applyNumberFormat="1" applyFont="1" applyFill="1" applyBorder="1" applyAlignment="1" applyProtection="1">
      <protection locked="0"/>
    </xf>
    <xf numFmtId="0" fontId="16" fillId="19" borderId="0" xfId="0" applyFont="1" applyFill="1" applyAlignment="1">
      <alignment horizontal="center"/>
    </xf>
    <xf numFmtId="43" fontId="14" fillId="0" borderId="0" xfId="1" applyFont="1"/>
    <xf numFmtId="0" fontId="14" fillId="11" borderId="0" xfId="0" applyFont="1" applyFill="1" applyProtection="1">
      <protection locked="0"/>
    </xf>
    <xf numFmtId="172" fontId="14" fillId="11" borderId="0" xfId="1" applyNumberFormat="1" applyFont="1" applyFill="1" applyAlignment="1" applyProtection="1">
      <alignment horizontal="right"/>
      <protection locked="0"/>
    </xf>
    <xf numFmtId="172" fontId="14" fillId="11" borderId="0" xfId="1" applyNumberFormat="1" applyFont="1" applyFill="1" applyProtection="1">
      <protection locked="0"/>
    </xf>
    <xf numFmtId="16" fontId="22" fillId="20" borderId="0" xfId="3" applyNumberFormat="1" applyFont="1" applyFill="1" applyBorder="1" applyAlignment="1" applyProtection="1">
      <alignment horizontal="center"/>
      <protection locked="0"/>
    </xf>
    <xf numFmtId="14" fontId="22" fillId="20" borderId="0" xfId="3" applyNumberFormat="1" applyFont="1" applyFill="1" applyBorder="1" applyAlignment="1" applyProtection="1">
      <protection locked="0"/>
    </xf>
    <xf numFmtId="173" fontId="22" fillId="20" borderId="0" xfId="3" applyNumberFormat="1" applyFont="1" applyFill="1" applyBorder="1" applyAlignment="1" applyProtection="1">
      <alignment horizontal="center"/>
      <protection locked="0"/>
    </xf>
    <xf numFmtId="166" fontId="22" fillId="20" borderId="0" xfId="3" applyNumberFormat="1" applyFont="1" applyFill="1" applyBorder="1" applyAlignment="1" applyProtection="1">
      <protection locked="0"/>
    </xf>
    <xf numFmtId="168" fontId="22" fillId="20" borderId="0" xfId="1" applyNumberFormat="1" applyFont="1" applyFill="1" applyBorder="1" applyAlignment="1" applyProtection="1">
      <protection locked="0"/>
    </xf>
    <xf numFmtId="4" fontId="22" fillId="20" borderId="0" xfId="3" applyNumberFormat="1" applyFont="1" applyFill="1" applyBorder="1" applyAlignment="1" applyProtection="1">
      <alignment horizontal="center"/>
      <protection locked="0"/>
    </xf>
    <xf numFmtId="4" fontId="22" fillId="20" borderId="2" xfId="3" applyNumberFormat="1" applyFont="1" applyFill="1" applyBorder="1" applyAlignment="1" applyProtection="1">
      <protection locked="0"/>
    </xf>
    <xf numFmtId="3" fontId="22" fillId="20" borderId="2" xfId="3" applyNumberFormat="1" applyFont="1" applyFill="1" applyBorder="1" applyAlignment="1">
      <alignment horizontal="right"/>
    </xf>
    <xf numFmtId="4" fontId="22" fillId="20" borderId="2" xfId="3" applyNumberFormat="1" applyFont="1" applyFill="1" applyBorder="1" applyAlignment="1"/>
    <xf numFmtId="3" fontId="22" fillId="20" borderId="2" xfId="3" applyNumberFormat="1" applyFont="1" applyFill="1" applyBorder="1" applyAlignment="1"/>
    <xf numFmtId="4" fontId="22" fillId="20" borderId="2" xfId="3" applyNumberFormat="1" applyFont="1" applyFill="1" applyBorder="1" applyAlignment="1" applyProtection="1">
      <alignment horizontal="center"/>
      <protection locked="0"/>
    </xf>
    <xf numFmtId="0" fontId="14" fillId="11" borderId="0" xfId="0" applyFont="1" applyFill="1"/>
    <xf numFmtId="0" fontId="14" fillId="0" borderId="0" xfId="0" applyFont="1" applyBorder="1" applyProtection="1">
      <protection locked="0"/>
    </xf>
    <xf numFmtId="172" fontId="14" fillId="0" borderId="0" xfId="1" applyNumberFormat="1" applyFont="1" applyBorder="1" applyAlignment="1" applyProtection="1">
      <alignment horizontal="right"/>
      <protection locked="0"/>
    </xf>
    <xf numFmtId="172" fontId="14" fillId="0" borderId="0" xfId="1" applyNumberFormat="1" applyFont="1" applyBorder="1" applyProtection="1">
      <protection locked="0"/>
    </xf>
    <xf numFmtId="0" fontId="14" fillId="0" borderId="0" xfId="0" applyFont="1" applyBorder="1"/>
    <xf numFmtId="4" fontId="22" fillId="15" borderId="7" xfId="3" applyNumberFormat="1" applyFont="1" applyFill="1" applyBorder="1" applyAlignment="1" applyProtection="1">
      <protection locked="0"/>
    </xf>
    <xf numFmtId="175" fontId="14" fillId="0" borderId="0" xfId="1" applyNumberFormat="1" applyFont="1" applyProtection="1">
      <protection locked="0"/>
    </xf>
    <xf numFmtId="174" fontId="14" fillId="0" borderId="0" xfId="0" applyNumberFormat="1" applyFont="1"/>
    <xf numFmtId="168" fontId="14" fillId="0" borderId="0" xfId="1" applyNumberFormat="1" applyFont="1" applyProtection="1">
      <protection locked="0"/>
    </xf>
    <xf numFmtId="177" fontId="14" fillId="0" borderId="0" xfId="1" applyNumberFormat="1" applyFont="1"/>
    <xf numFmtId="176" fontId="14" fillId="0" borderId="0" xfId="1" applyNumberFormat="1" applyFont="1" applyProtection="1">
      <protection locked="0"/>
    </xf>
    <xf numFmtId="171" fontId="14" fillId="0" borderId="0" xfId="1" applyNumberFormat="1" applyFont="1"/>
    <xf numFmtId="172" fontId="14" fillId="0" borderId="0" xfId="1" applyNumberFormat="1" applyFont="1"/>
    <xf numFmtId="1" fontId="14" fillId="0" borderId="0" xfId="1" applyNumberFormat="1" applyFont="1" applyProtection="1">
      <protection locked="0"/>
    </xf>
    <xf numFmtId="175" fontId="14" fillId="0" borderId="0" xfId="1" applyNumberFormat="1" applyFont="1"/>
    <xf numFmtId="175" fontId="14" fillId="0" borderId="0" xfId="0" applyNumberFormat="1" applyFont="1"/>
    <xf numFmtId="3" fontId="16" fillId="0" borderId="0" xfId="0" applyNumberFormat="1" applyFont="1"/>
    <xf numFmtId="0" fontId="0" fillId="0" borderId="0" xfId="0" applyFont="1" applyBorder="1" applyProtection="1">
      <protection locked="0"/>
    </xf>
    <xf numFmtId="0" fontId="23" fillId="0" borderId="0" xfId="0" applyFont="1"/>
    <xf numFmtId="14" fontId="24" fillId="0" borderId="0" xfId="0" applyNumberFormat="1" applyFont="1" applyProtection="1">
      <protection locked="0"/>
    </xf>
    <xf numFmtId="0" fontId="25" fillId="0" borderId="0" xfId="0" applyFont="1" applyProtection="1">
      <protection locked="0"/>
    </xf>
    <xf numFmtId="166" fontId="23" fillId="0" borderId="0" xfId="0" applyNumberFormat="1" applyFont="1"/>
    <xf numFmtId="168" fontId="23" fillId="0" borderId="0" xfId="1" applyNumberFormat="1" applyFont="1"/>
    <xf numFmtId="0" fontId="23" fillId="0" borderId="0" xfId="0" applyFont="1" applyFill="1"/>
    <xf numFmtId="168" fontId="23" fillId="0" borderId="0" xfId="0" applyNumberFormat="1" applyFont="1"/>
    <xf numFmtId="0" fontId="26" fillId="12" borderId="7" xfId="0" applyFont="1" applyFill="1" applyBorder="1" applyAlignment="1">
      <alignment horizontal="center" vertical="center" wrapText="1"/>
    </xf>
    <xf numFmtId="0" fontId="27" fillId="12" borderId="7" xfId="0" applyFont="1" applyFill="1" applyBorder="1" applyAlignment="1">
      <alignment horizontal="center" vertical="center" wrapText="1"/>
    </xf>
    <xf numFmtId="0" fontId="26" fillId="12" borderId="0" xfId="0" applyFont="1" applyFill="1" applyBorder="1" applyAlignment="1">
      <alignment horizontal="center" vertical="center" wrapText="1"/>
    </xf>
    <xf numFmtId="16" fontId="28" fillId="3" borderId="7" xfId="0" applyNumberFormat="1" applyFont="1" applyFill="1" applyBorder="1" applyAlignment="1">
      <alignment horizontal="center"/>
    </xf>
    <xf numFmtId="0" fontId="28" fillId="3" borderId="7" xfId="0" applyFont="1" applyFill="1" applyBorder="1" applyAlignment="1">
      <alignment horizontal="center"/>
    </xf>
    <xf numFmtId="14" fontId="28" fillId="3" borderId="7" xfId="0" applyNumberFormat="1" applyFont="1" applyFill="1" applyBorder="1" applyAlignment="1">
      <alignment horizontal="center"/>
    </xf>
    <xf numFmtId="3" fontId="28" fillId="3" borderId="7" xfId="0" applyNumberFormat="1" applyFont="1" applyFill="1" applyBorder="1"/>
    <xf numFmtId="43" fontId="28" fillId="3" borderId="7" xfId="1" applyNumberFormat="1" applyFont="1" applyFill="1" applyBorder="1"/>
    <xf numFmtId="166" fontId="28" fillId="3" borderId="7" xfId="1" applyNumberFormat="1" applyFont="1" applyFill="1" applyBorder="1"/>
    <xf numFmtId="178" fontId="28" fillId="16" borderId="7" xfId="1" applyNumberFormat="1" applyFont="1" applyFill="1" applyBorder="1"/>
    <xf numFmtId="168" fontId="28" fillId="3" borderId="7" xfId="1" applyNumberFormat="1" applyFont="1" applyFill="1" applyBorder="1"/>
    <xf numFmtId="3" fontId="23" fillId="0" borderId="0" xfId="0" applyNumberFormat="1" applyFont="1"/>
    <xf numFmtId="0" fontId="23" fillId="4" borderId="4" xfId="0" applyFont="1" applyFill="1" applyBorder="1"/>
    <xf numFmtId="14" fontId="28" fillId="0" borderId="6" xfId="0" applyNumberFormat="1" applyFont="1" applyFill="1" applyBorder="1" applyAlignment="1">
      <alignment horizontal="center"/>
    </xf>
    <xf numFmtId="0" fontId="28" fillId="0" borderId="6" xfId="0" applyFont="1" applyFill="1" applyBorder="1" applyAlignment="1">
      <alignment horizontal="center"/>
    </xf>
    <xf numFmtId="0" fontId="28" fillId="0" borderId="6" xfId="0" applyFont="1" applyFill="1" applyBorder="1"/>
    <xf numFmtId="14" fontId="24" fillId="0" borderId="6" xfId="0" applyNumberFormat="1" applyFont="1" applyBorder="1" applyProtection="1"/>
    <xf numFmtId="4" fontId="28" fillId="0" borderId="6" xfId="1" applyNumberFormat="1" applyFont="1" applyFill="1" applyBorder="1"/>
    <xf numFmtId="43" fontId="28" fillId="0" borderId="6" xfId="1" applyNumberFormat="1" applyFont="1" applyFill="1" applyBorder="1"/>
    <xf numFmtId="179" fontId="28" fillId="0" borderId="6" xfId="1" applyNumberFormat="1" applyFont="1" applyFill="1" applyBorder="1"/>
    <xf numFmtId="167" fontId="25" fillId="0" borderId="6" xfId="0" applyNumberFormat="1" applyFont="1" applyFill="1" applyBorder="1"/>
    <xf numFmtId="180" fontId="23" fillId="0" borderId="0" xfId="0" applyNumberFormat="1" applyFont="1"/>
    <xf numFmtId="14" fontId="29" fillId="0" borderId="6" xfId="0" applyNumberFormat="1" applyFont="1" applyBorder="1" applyProtection="1"/>
    <xf numFmtId="0" fontId="23" fillId="11" borderId="0" xfId="0" applyFont="1" applyFill="1"/>
    <xf numFmtId="0" fontId="30" fillId="17" borderId="7" xfId="0" applyFont="1" applyFill="1" applyBorder="1" applyAlignment="1">
      <alignment horizontal="center"/>
    </xf>
    <xf numFmtId="14" fontId="28" fillId="17" borderId="7" xfId="0" applyNumberFormat="1" applyFont="1" applyFill="1" applyBorder="1" applyAlignment="1">
      <alignment horizontal="center"/>
    </xf>
    <xf numFmtId="3" fontId="28" fillId="17" borderId="7" xfId="0" applyNumberFormat="1" applyFont="1" applyFill="1" applyBorder="1" applyAlignment="1">
      <alignment horizontal="center"/>
    </xf>
    <xf numFmtId="14" fontId="28" fillId="17" borderId="0" xfId="0" applyNumberFormat="1" applyFont="1" applyFill="1" applyBorder="1" applyAlignment="1">
      <alignment horizontal="center"/>
    </xf>
    <xf numFmtId="3" fontId="30" fillId="17" borderId="3" xfId="0" applyNumberFormat="1" applyFont="1" applyFill="1" applyBorder="1" applyAlignment="1">
      <alignment horizontal="center"/>
    </xf>
    <xf numFmtId="0" fontId="31" fillId="0" borderId="0" xfId="0" applyFont="1"/>
    <xf numFmtId="168" fontId="28" fillId="0" borderId="6" xfId="1" applyNumberFormat="1" applyFont="1" applyFill="1" applyBorder="1"/>
    <xf numFmtId="3" fontId="28" fillId="0" borderId="6" xfId="1" applyNumberFormat="1" applyFont="1" applyFill="1" applyBorder="1"/>
    <xf numFmtId="167" fontId="32" fillId="0" borderId="6" xfId="0" applyNumberFormat="1" applyFont="1" applyFill="1" applyBorder="1"/>
    <xf numFmtId="0" fontId="31" fillId="0" borderId="0" xfId="0" applyFont="1" applyFill="1"/>
    <xf numFmtId="43" fontId="23" fillId="0" borderId="0" xfId="1" applyFont="1"/>
    <xf numFmtId="43" fontId="23" fillId="0" borderId="0" xfId="1" applyFont="1" applyFill="1"/>
    <xf numFmtId="167" fontId="23" fillId="0" borderId="0" xfId="0" applyNumberFormat="1" applyFont="1"/>
    <xf numFmtId="43" fontId="23" fillId="0" borderId="0" xfId="0" applyNumberFormat="1" applyFont="1"/>
    <xf numFmtId="179" fontId="28" fillId="11" borderId="6" xfId="1" applyNumberFormat="1" applyFont="1" applyFill="1" applyBorder="1"/>
    <xf numFmtId="49" fontId="23" fillId="0" borderId="0" xfId="0" applyNumberFormat="1" applyFont="1"/>
    <xf numFmtId="168" fontId="23" fillId="0" borderId="0" xfId="0" applyNumberFormat="1" applyFont="1" applyFill="1"/>
    <xf numFmtId="166" fontId="31" fillId="0" borderId="0" xfId="0" applyNumberFormat="1" applyFont="1"/>
    <xf numFmtId="1" fontId="23" fillId="0" borderId="0" xfId="1" applyNumberFormat="1" applyFont="1"/>
    <xf numFmtId="0" fontId="30" fillId="18" borderId="6" xfId="0" applyFont="1" applyFill="1" applyBorder="1" applyAlignment="1">
      <alignment horizontal="center" vertical="center" wrapText="1"/>
    </xf>
    <xf numFmtId="179" fontId="23" fillId="0" borderId="0" xfId="1" applyNumberFormat="1" applyFont="1"/>
    <xf numFmtId="181" fontId="23" fillId="0" borderId="0" xfId="0" applyNumberFormat="1" applyFont="1" applyFill="1"/>
    <xf numFmtId="0" fontId="34" fillId="0" borderId="0" xfId="0" applyFont="1"/>
    <xf numFmtId="0" fontId="35" fillId="0" borderId="0" xfId="0" applyFont="1"/>
    <xf numFmtId="14" fontId="35" fillId="0" borderId="0" xfId="0" applyNumberFormat="1" applyFont="1"/>
    <xf numFmtId="0" fontId="34" fillId="0" borderId="6" xfId="0" applyFont="1" applyFill="1" applyBorder="1"/>
    <xf numFmtId="4" fontId="37" fillId="19" borderId="6" xfId="0" applyNumberFormat="1" applyFont="1" applyFill="1" applyBorder="1" applyAlignment="1">
      <alignment horizontal="center" vertical="center"/>
    </xf>
    <xf numFmtId="0" fontId="34" fillId="19" borderId="0" xfId="0" applyFont="1" applyFill="1"/>
    <xf numFmtId="14" fontId="35" fillId="19" borderId="0" xfId="0" applyNumberFormat="1" applyFont="1" applyFill="1"/>
    <xf numFmtId="0" fontId="38" fillId="11" borderId="0" xfId="0" applyFont="1" applyFill="1" applyBorder="1"/>
    <xf numFmtId="4" fontId="37" fillId="7" borderId="6" xfId="0" applyNumberFormat="1" applyFont="1" applyFill="1" applyBorder="1" applyAlignment="1">
      <alignment horizontal="center" vertical="center"/>
    </xf>
    <xf numFmtId="14" fontId="34" fillId="0" borderId="0" xfId="0" applyNumberFormat="1" applyFont="1" applyFill="1"/>
    <xf numFmtId="183" fontId="38" fillId="11" borderId="0" xfId="4" applyNumberFormat="1" applyFont="1" applyFill="1" applyBorder="1"/>
    <xf numFmtId="4" fontId="37" fillId="11" borderId="6" xfId="0" applyNumberFormat="1" applyFont="1" applyFill="1" applyBorder="1" applyAlignment="1">
      <alignment horizontal="center" vertical="center"/>
    </xf>
    <xf numFmtId="0" fontId="34" fillId="0" borderId="0" xfId="0" applyFont="1" applyBorder="1"/>
    <xf numFmtId="0" fontId="34" fillId="9" borderId="6" xfId="0" applyFont="1" applyFill="1" applyBorder="1"/>
    <xf numFmtId="4" fontId="34" fillId="9" borderId="6" xfId="0" applyNumberFormat="1" applyFont="1" applyFill="1" applyBorder="1"/>
    <xf numFmtId="4" fontId="34" fillId="5" borderId="0" xfId="0" applyNumberFormat="1" applyFont="1" applyFill="1"/>
    <xf numFmtId="4" fontId="40" fillId="0" borderId="0" xfId="0" applyNumberFormat="1" applyFont="1"/>
    <xf numFmtId="4" fontId="34" fillId="0" borderId="0" xfId="0" applyNumberFormat="1" applyFont="1"/>
    <xf numFmtId="0" fontId="34" fillId="10" borderId="6" xfId="0" applyFont="1" applyFill="1" applyBorder="1"/>
    <xf numFmtId="4" fontId="34" fillId="10" borderId="6" xfId="0" applyNumberFormat="1" applyFont="1" applyFill="1" applyBorder="1"/>
    <xf numFmtId="183" fontId="34" fillId="0" borderId="0" xfId="4" applyNumberFormat="1" applyFont="1"/>
    <xf numFmtId="4" fontId="34" fillId="0" borderId="0" xfId="0" applyNumberFormat="1" applyFont="1" applyFill="1"/>
    <xf numFmtId="4" fontId="37" fillId="0" borderId="6" xfId="0" applyNumberFormat="1" applyFont="1" applyFill="1" applyBorder="1" applyAlignment="1">
      <alignment horizontal="center" vertical="center"/>
    </xf>
    <xf numFmtId="4" fontId="34" fillId="0" borderId="0" xfId="0" applyNumberFormat="1" applyFont="1" applyBorder="1"/>
    <xf numFmtId="165" fontId="34" fillId="0" borderId="0" xfId="0" applyNumberFormat="1" applyFont="1"/>
    <xf numFmtId="14" fontId="34" fillId="0" borderId="0" xfId="0" applyNumberFormat="1" applyFont="1"/>
    <xf numFmtId="14" fontId="0" fillId="0" borderId="0" xfId="0" applyNumberFormat="1" applyFont="1" applyFill="1"/>
    <xf numFmtId="0" fontId="0" fillId="0" borderId="6" xfId="0" applyFont="1" applyFill="1" applyBorder="1"/>
    <xf numFmtId="0" fontId="0" fillId="0" borderId="0" xfId="0" applyFont="1"/>
    <xf numFmtId="0" fontId="14" fillId="11" borderId="0" xfId="0" applyFont="1" applyFill="1" applyBorder="1" applyProtection="1">
      <protection locked="0"/>
    </xf>
    <xf numFmtId="172" fontId="14" fillId="11" borderId="0" xfId="1" applyNumberFormat="1" applyFont="1" applyFill="1" applyBorder="1" applyAlignment="1" applyProtection="1">
      <alignment horizontal="right"/>
      <protection locked="0"/>
    </xf>
    <xf numFmtId="172" fontId="14" fillId="11" borderId="0" xfId="1" applyNumberFormat="1" applyFont="1" applyFill="1" applyBorder="1" applyProtection="1">
      <protection locked="0"/>
    </xf>
    <xf numFmtId="4" fontId="22" fillId="20" borderId="7" xfId="3" applyNumberFormat="1" applyFont="1" applyFill="1" applyBorder="1" applyAlignment="1" applyProtection="1">
      <protection locked="0"/>
    </xf>
    <xf numFmtId="0" fontId="14" fillId="11" borderId="0" xfId="0" applyFont="1" applyFill="1" applyBorder="1"/>
    <xf numFmtId="4" fontId="0" fillId="0" borderId="0" xfId="0" applyNumberFormat="1" applyFont="1"/>
    <xf numFmtId="172" fontId="0" fillId="0" borderId="0" xfId="1" applyNumberFormat="1" applyFont="1"/>
    <xf numFmtId="183" fontId="14" fillId="0" borderId="0" xfId="4" applyNumberFormat="1" applyFont="1"/>
    <xf numFmtId="4" fontId="39" fillId="0" borderId="0" xfId="0" applyNumberFormat="1" applyFont="1" applyBorder="1"/>
    <xf numFmtId="0" fontId="0" fillId="11" borderId="0" xfId="0" applyFont="1" applyFill="1" applyBorder="1" applyProtection="1">
      <protection locked="0"/>
    </xf>
    <xf numFmtId="183" fontId="34" fillId="0" borderId="0" xfId="0" applyNumberFormat="1" applyFont="1"/>
    <xf numFmtId="0" fontId="3" fillId="0" borderId="0" xfId="0" applyFont="1" applyBorder="1" applyProtection="1">
      <protection locked="0"/>
    </xf>
    <xf numFmtId="172" fontId="3" fillId="0" borderId="0" xfId="1" applyNumberFormat="1" applyFont="1" applyBorder="1" applyAlignment="1" applyProtection="1">
      <alignment horizontal="right"/>
      <protection locked="0"/>
    </xf>
    <xf numFmtId="172" fontId="3" fillId="0" borderId="0" xfId="1" applyNumberFormat="1" applyFont="1" applyBorder="1" applyProtection="1">
      <protection locked="0"/>
    </xf>
    <xf numFmtId="0" fontId="3" fillId="0" borderId="0" xfId="0" applyFont="1" applyBorder="1"/>
    <xf numFmtId="164" fontId="14" fillId="0" borderId="0" xfId="4" applyFont="1" applyProtection="1">
      <protection locked="0"/>
    </xf>
    <xf numFmtId="164" fontId="14" fillId="0" borderId="0" xfId="4" applyFont="1"/>
    <xf numFmtId="164" fontId="14" fillId="0" borderId="0" xfId="0" applyNumberFormat="1" applyFont="1" applyProtection="1">
      <protection locked="0"/>
    </xf>
    <xf numFmtId="183" fontId="14" fillId="0" borderId="0" xfId="0" applyNumberFormat="1" applyFont="1" applyProtection="1">
      <protection locked="0"/>
    </xf>
    <xf numFmtId="183" fontId="14" fillId="0" borderId="0" xfId="4" applyNumberFormat="1" applyFont="1" applyProtection="1">
      <protection locked="0"/>
    </xf>
    <xf numFmtId="4" fontId="14" fillId="0" borderId="0" xfId="0" applyNumberFormat="1" applyFont="1" applyProtection="1">
      <protection locked="0"/>
    </xf>
    <xf numFmtId="164" fontId="41" fillId="0" borderId="9" xfId="4" applyFont="1" applyFill="1" applyBorder="1" applyProtection="1">
      <protection locked="0"/>
    </xf>
    <xf numFmtId="0" fontId="0" fillId="0" borderId="0" xfId="0" applyFont="1" applyProtection="1">
      <protection locked="0"/>
    </xf>
    <xf numFmtId="183" fontId="14" fillId="0" borderId="0" xfId="0" applyNumberFormat="1" applyFont="1"/>
    <xf numFmtId="183" fontId="34" fillId="11" borderId="0" xfId="4" applyNumberFormat="1" applyFont="1" applyFill="1"/>
    <xf numFmtId="164" fontId="0" fillId="0" borderId="0" xfId="4" applyFont="1"/>
    <xf numFmtId="3" fontId="9" fillId="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84" fontId="0" fillId="0" borderId="0" xfId="0" applyNumberFormat="1" applyAlignment="1">
      <alignment horizontal="left"/>
    </xf>
    <xf numFmtId="173" fontId="22" fillId="21" borderId="0" xfId="3" applyNumberFormat="1" applyFont="1" applyFill="1" applyBorder="1" applyAlignment="1" applyProtection="1">
      <alignment horizontal="center"/>
      <protection locked="0"/>
    </xf>
    <xf numFmtId="4" fontId="22" fillId="21" borderId="2" xfId="3" applyNumberFormat="1" applyFont="1" applyFill="1" applyBorder="1" applyAlignment="1" applyProtection="1">
      <protection locked="0"/>
    </xf>
    <xf numFmtId="4" fontId="22" fillId="21" borderId="0" xfId="3" applyNumberFormat="1" applyFont="1" applyFill="1" applyBorder="1" applyAlignment="1" applyProtection="1">
      <alignment horizontal="center"/>
      <protection locked="0"/>
    </xf>
    <xf numFmtId="0" fontId="0" fillId="22" borderId="0" xfId="0" applyFill="1"/>
    <xf numFmtId="184" fontId="0" fillId="0" borderId="0" xfId="0" applyNumberFormat="1"/>
    <xf numFmtId="180" fontId="10" fillId="0" borderId="0" xfId="4" applyNumberFormat="1" applyFont="1"/>
    <xf numFmtId="3" fontId="0" fillId="22" borderId="0" xfId="0" applyNumberFormat="1" applyFill="1"/>
    <xf numFmtId="0" fontId="0" fillId="6" borderId="0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4" fontId="1" fillId="10" borderId="6" xfId="0" applyNumberFormat="1" applyFont="1" applyFill="1" applyBorder="1"/>
    <xf numFmtId="4" fontId="22" fillId="21" borderId="0" xfId="3" applyNumberFormat="1" applyFont="1" applyFill="1" applyBorder="1" applyAlignment="1" applyProtection="1">
      <protection locked="0"/>
    </xf>
    <xf numFmtId="3" fontId="5" fillId="0" borderId="6" xfId="1" applyNumberFormat="1" applyFont="1" applyFill="1" applyBorder="1"/>
    <xf numFmtId="164" fontId="0" fillId="0" borderId="0" xfId="4" applyFont="1" applyFill="1"/>
    <xf numFmtId="3" fontId="9" fillId="0" borderId="6" xfId="0" applyNumberFormat="1" applyFont="1" applyFill="1" applyBorder="1" applyAlignment="1">
      <alignment horizontal="right" vertical="center"/>
    </xf>
    <xf numFmtId="10" fontId="0" fillId="0" borderId="0" xfId="0" applyNumberFormat="1"/>
    <xf numFmtId="0" fontId="13" fillId="11" borderId="0" xfId="0" applyFont="1" applyFill="1" applyBorder="1"/>
    <xf numFmtId="183" fontId="13" fillId="11" borderId="0" xfId="4" applyNumberFormat="1" applyFont="1" applyFill="1" applyBorder="1"/>
    <xf numFmtId="14" fontId="23" fillId="0" borderId="0" xfId="0" applyNumberFormat="1" applyFont="1"/>
    <xf numFmtId="183" fontId="0" fillId="0" borderId="0" xfId="0" applyNumberFormat="1"/>
    <xf numFmtId="164" fontId="0" fillId="0" borderId="0" xfId="0" applyNumberFormat="1"/>
    <xf numFmtId="183" fontId="34" fillId="0" borderId="0" xfId="0" applyNumberFormat="1" applyFont="1" applyBorder="1"/>
    <xf numFmtId="14" fontId="23" fillId="0" borderId="0" xfId="1" applyNumberFormat="1" applyFont="1"/>
    <xf numFmtId="172" fontId="1" fillId="0" borderId="0" xfId="1" applyNumberFormat="1" applyFont="1" applyBorder="1" applyAlignment="1" applyProtection="1">
      <alignment horizontal="right"/>
      <protection locked="0"/>
    </xf>
    <xf numFmtId="172" fontId="1" fillId="0" borderId="0" xfId="1" applyNumberFormat="1" applyFont="1" applyBorder="1" applyProtection="1">
      <protection locked="0"/>
    </xf>
    <xf numFmtId="0" fontId="0" fillId="0" borderId="0" xfId="0" applyFont="1" applyBorder="1"/>
    <xf numFmtId="4" fontId="3" fillId="0" borderId="0" xfId="0" applyNumberFormat="1" applyFont="1"/>
    <xf numFmtId="4" fontId="3" fillId="0" borderId="0" xfId="1" applyNumberFormat="1" applyFont="1"/>
    <xf numFmtId="0" fontId="30" fillId="0" borderId="0" xfId="0" applyFont="1" applyFill="1" applyBorder="1" applyAlignment="1">
      <alignment horizontal="center"/>
    </xf>
    <xf numFmtId="14" fontId="28" fillId="0" borderId="0" xfId="0" applyNumberFormat="1" applyFont="1" applyFill="1" applyBorder="1" applyAlignment="1">
      <alignment horizontal="center"/>
    </xf>
    <xf numFmtId="3" fontId="28" fillId="0" borderId="0" xfId="0" applyNumberFormat="1" applyFont="1" applyFill="1" applyBorder="1" applyAlignment="1">
      <alignment horizontal="center"/>
    </xf>
    <xf numFmtId="3" fontId="30" fillId="0" borderId="0" xfId="0" applyNumberFormat="1" applyFont="1" applyFill="1" applyBorder="1" applyAlignment="1">
      <alignment horizontal="center"/>
    </xf>
    <xf numFmtId="168" fontId="23" fillId="0" borderId="0" xfId="1" applyNumberFormat="1" applyFont="1" applyFill="1"/>
    <xf numFmtId="3" fontId="23" fillId="11" borderId="5" xfId="0" applyNumberFormat="1" applyFont="1" applyFill="1" applyBorder="1"/>
    <xf numFmtId="175" fontId="14" fillId="0" borderId="0" xfId="0" applyNumberFormat="1" applyFont="1" applyProtection="1">
      <protection locked="0"/>
    </xf>
    <xf numFmtId="0" fontId="3" fillId="23" borderId="6" xfId="0" applyFont="1" applyFill="1" applyBorder="1"/>
    <xf numFmtId="180" fontId="3" fillId="23" borderId="6" xfId="0" applyNumberFormat="1" applyFont="1" applyFill="1" applyBorder="1"/>
    <xf numFmtId="4" fontId="3" fillId="0" borderId="0" xfId="0" applyNumberFormat="1" applyFont="1" applyBorder="1"/>
    <xf numFmtId="165" fontId="0" fillId="0" borderId="0" xfId="0" applyNumberFormat="1"/>
    <xf numFmtId="0" fontId="27" fillId="12" borderId="0" xfId="0" applyFont="1" applyFill="1" applyBorder="1" applyAlignment="1">
      <alignment horizontal="center" vertical="center" wrapText="1"/>
    </xf>
    <xf numFmtId="180" fontId="3" fillId="23" borderId="0" xfId="0" applyNumberFormat="1" applyFont="1" applyFill="1" applyBorder="1"/>
    <xf numFmtId="3" fontId="30" fillId="17" borderId="5" xfId="0" applyNumberFormat="1" applyFont="1" applyFill="1" applyBorder="1" applyAlignment="1">
      <alignment horizontal="center"/>
    </xf>
    <xf numFmtId="43" fontId="28" fillId="0" borderId="0" xfId="1" applyFont="1" applyFill="1" applyBorder="1" applyAlignment="1">
      <alignment horizontal="center"/>
    </xf>
    <xf numFmtId="43" fontId="28" fillId="17" borderId="0" xfId="1" applyFont="1" applyFill="1" applyBorder="1" applyAlignment="1">
      <alignment horizontal="center"/>
    </xf>
    <xf numFmtId="0" fontId="30" fillId="24" borderId="5" xfId="0" applyFont="1" applyFill="1" applyBorder="1" applyAlignment="1">
      <alignment horizontal="center" vertical="center" wrapText="1"/>
    </xf>
    <xf numFmtId="168" fontId="23" fillId="0" borderId="6" xfId="1" applyNumberFormat="1" applyFont="1" applyBorder="1"/>
    <xf numFmtId="170" fontId="42" fillId="24" borderId="6" xfId="3" applyFont="1" applyFill="1" applyBorder="1" applyAlignment="1">
      <alignment horizontal="center" vertical="center" wrapText="1"/>
    </xf>
    <xf numFmtId="3" fontId="42" fillId="24" borderId="6" xfId="3" applyNumberFormat="1" applyFont="1" applyFill="1" applyBorder="1" applyAlignment="1">
      <alignment horizontal="center" vertical="center" wrapText="1"/>
    </xf>
    <xf numFmtId="0" fontId="0" fillId="0" borderId="0" xfId="0" applyFont="1" applyFill="1" applyBorder="1"/>
    <xf numFmtId="165" fontId="0" fillId="0" borderId="6" xfId="0" applyNumberFormat="1" applyBorder="1"/>
    <xf numFmtId="0" fontId="0" fillId="0" borderId="0" xfId="0" applyFont="1" applyFill="1"/>
    <xf numFmtId="185" fontId="0" fillId="0" borderId="6" xfId="4" applyNumberFormat="1" applyFont="1" applyBorder="1"/>
    <xf numFmtId="165" fontId="34" fillId="0" borderId="0" xfId="0" applyNumberFormat="1" applyFont="1" applyBorder="1"/>
    <xf numFmtId="172" fontId="1" fillId="0" borderId="0" xfId="1" applyNumberFormat="1" applyFont="1" applyAlignment="1" applyProtection="1">
      <alignment horizontal="right"/>
      <protection locked="0"/>
    </xf>
    <xf numFmtId="172" fontId="1" fillId="0" borderId="0" xfId="1" applyNumberFormat="1" applyFont="1" applyProtection="1">
      <protection locked="0"/>
    </xf>
    <xf numFmtId="4" fontId="0" fillId="0" borderId="0" xfId="0" applyNumberFormat="1" applyFont="1" applyBorder="1"/>
    <xf numFmtId="0" fontId="34" fillId="0" borderId="6" xfId="0" applyFont="1" applyBorder="1"/>
    <xf numFmtId="186" fontId="22" fillId="15" borderId="0" xfId="3" applyNumberFormat="1" applyFont="1" applyFill="1" applyBorder="1" applyAlignment="1" applyProtection="1">
      <alignment horizontal="center"/>
      <protection locked="0"/>
    </xf>
    <xf numFmtId="183" fontId="34" fillId="0" borderId="0" xfId="4" applyNumberFormat="1" applyFont="1" applyBorder="1"/>
    <xf numFmtId="4" fontId="22" fillId="14" borderId="2" xfId="3" applyNumberFormat="1" applyFont="1" applyFill="1" applyBorder="1" applyAlignment="1">
      <alignment horizontal="right"/>
    </xf>
    <xf numFmtId="166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0" fillId="6" borderId="12" xfId="0" applyFill="1" applyBorder="1" applyAlignment="1">
      <alignment horizontal="left"/>
    </xf>
    <xf numFmtId="1" fontId="0" fillId="6" borderId="13" xfId="0" applyNumberFormat="1" applyFill="1" applyBorder="1" applyAlignment="1">
      <alignment horizontal="center"/>
    </xf>
    <xf numFmtId="1" fontId="0" fillId="6" borderId="0" xfId="0" applyNumberFormat="1" applyFill="1" applyBorder="1" applyAlignment="1">
      <alignment horizontal="center"/>
    </xf>
    <xf numFmtId="1" fontId="0" fillId="6" borderId="14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170" fontId="19" fillId="12" borderId="0" xfId="3" applyFont="1" applyFill="1" applyBorder="1" applyAlignment="1">
      <alignment horizontal="center" vertical="center" wrapText="1"/>
    </xf>
    <xf numFmtId="0" fontId="36" fillId="11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</cellXfs>
  <cellStyles count="5">
    <cellStyle name="Millares" xfId="1" builtinId="3"/>
    <cellStyle name="Millares [0]" xfId="4" builtinId="6"/>
    <cellStyle name="Normal" xfId="0" builtinId="0"/>
    <cellStyle name="Normal 3" xfId="3" xr:uid="{00000000-0005-0000-0000-000003000000}"/>
    <cellStyle name="Porcentaje" xfId="2" builtinId="5"/>
  </cellStyles>
  <dxfs count="1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u val="none"/>
        <color theme="5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of.%20RA_$$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Back%20Office%20FM\RESPALDOS%20DIARIOS\VALOR%20CUOTA\Money%20Market\2017\11-2017\11\devengo%20money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Back%20Office%20FM\RESPALDOS%20DIARIOS\VALOR%20CUOTA\Money%20Market\2017\11-2017\10\devengo%20money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Back%20Office%20FM\RESPALDOS%20DIARIOS\VALOR%20CUOTA\Money%20Market\2018\05%20Mayo\12\DEV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Back%20Office%20FM\RESPALDOS%20DIARIOS\VALOR%20CUOTA\Money%20Market\2017\10-2017\22\DEVENGO%20MONEY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Back%20Office%20FM\RESPALDOS%20DIARIOS\VALOR%20CUOTA\Money%20Market\2017\11-2017\12\devengo%20money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Back%20Office%20FM\RESPALDOS%20DIARIOS\VALOR%20CUOTA\Money%20Market\2018\ENERO\14\DEV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Back%20Office%20FM\RESPALDOS%20DIARIOS\VALOR%20CUOTA\Money%20Market\2018\05%20Mayo\13\dev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Back%20Office%20FM\RESPALDOS%20DIARIOS\VALOR%20CUOTA\Money%20Market\2018\04%20Abril\22\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of.%20RA%20USD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Back%20Office%20FM\RESPALDOS%20DIARIOS\VALOR%20CUOTA\Money%20Market\2017\10-2017\23\devengo%20mone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Back%20Office%20FM\RESPALDOS%20DIARIOS\VALOR%20CUOTA\Money%20Market\2017\11-2017\15\DEVENG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Back%20Office%20FM\RESPALDOS%20DIARIOS\VALOR%20CUOTA\Money%20Market\2018\ENERO\16\DEV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Back%20Office%20FM\RESPALDOS%20DIARIOS\VALOR%20CUOTA\Money%20Market\2018\ENERO\15\DEV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Back%20Office%20FM\RESPALDOS%20DIARIOS\VALOR%20CUOTA\Money%20Market\2018\ENERO\23\DEV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Back%20Office%20FM\RESPALDOS%20DIARIOS\VALOR%20CUOTA\Money%20Market\2018\05%20Mayo\16\DEV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Back%20Office%20FM\RESPALDOS%20DIARIOS\VALOR%20CUOTA\Money%20Market\2017\10-2017\21\DEVENGO%20MONE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f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A15">
            <v>77535</v>
          </cell>
          <cell r="D15" t="str">
            <v>PAGARE NR</v>
          </cell>
          <cell r="I15" t="str">
            <v>BBVA</v>
          </cell>
          <cell r="L15">
            <v>800000000</v>
          </cell>
          <cell r="N15" t="str">
            <v>02-01-2018</v>
          </cell>
          <cell r="Q15">
            <v>52</v>
          </cell>
          <cell r="S15">
            <v>0.22</v>
          </cell>
          <cell r="X15">
            <v>0</v>
          </cell>
          <cell r="AC15">
            <v>1263885.996</v>
          </cell>
        </row>
        <row r="17">
          <cell r="A17">
            <v>77940</v>
          </cell>
          <cell r="D17" t="str">
            <v>PAGARE NR</v>
          </cell>
          <cell r="I17" t="str">
            <v>BCI</v>
          </cell>
          <cell r="L17">
            <v>1206000000</v>
          </cell>
          <cell r="N17" t="str">
            <v>15-12-2017</v>
          </cell>
          <cell r="Q17">
            <v>34</v>
          </cell>
          <cell r="S17">
            <v>0.22</v>
          </cell>
          <cell r="X17">
            <v>0</v>
          </cell>
          <cell r="AC17">
            <v>1907817.0755000003</v>
          </cell>
        </row>
        <row r="19">
          <cell r="A19">
            <v>77465</v>
          </cell>
          <cell r="D19" t="str">
            <v>PAGARE NR</v>
          </cell>
          <cell r="I19" t="str">
            <v>BCI</v>
          </cell>
          <cell r="L19">
            <v>1000000000</v>
          </cell>
          <cell r="N19" t="str">
            <v>16-11-2017</v>
          </cell>
          <cell r="Q19">
            <v>5</v>
          </cell>
          <cell r="S19">
            <v>0.22</v>
          </cell>
          <cell r="X19">
            <v>0</v>
          </cell>
          <cell r="AC19">
            <v>1585301.1416999998</v>
          </cell>
        </row>
        <row r="21">
          <cell r="A21">
            <v>77941</v>
          </cell>
          <cell r="D21" t="str">
            <v>PAGARE NR</v>
          </cell>
          <cell r="I21" t="str">
            <v>BICE</v>
          </cell>
          <cell r="L21">
            <v>2500000000</v>
          </cell>
          <cell r="N21" t="str">
            <v>01-12-2017</v>
          </cell>
          <cell r="Q21">
            <v>20</v>
          </cell>
          <cell r="S21">
            <v>0.21</v>
          </cell>
          <cell r="X21">
            <v>0</v>
          </cell>
          <cell r="AC21">
            <v>3959149.7375000003</v>
          </cell>
        </row>
        <row r="23">
          <cell r="A23">
            <v>77731</v>
          </cell>
          <cell r="D23" t="str">
            <v>PAGARE NR</v>
          </cell>
          <cell r="I23" t="str">
            <v>ESTADO</v>
          </cell>
          <cell r="L23">
            <v>1100000000</v>
          </cell>
          <cell r="N23" t="str">
            <v>02-01-2018</v>
          </cell>
          <cell r="Q23">
            <v>52</v>
          </cell>
          <cell r="S23">
            <v>0.23</v>
          </cell>
          <cell r="X23">
            <v>0</v>
          </cell>
          <cell r="AC23">
            <v>1737548.9621000001</v>
          </cell>
        </row>
        <row r="25">
          <cell r="A25">
            <v>76963</v>
          </cell>
          <cell r="D25" t="str">
            <v>PAGARE NR</v>
          </cell>
          <cell r="I25" t="str">
            <v>ESTADO</v>
          </cell>
          <cell r="L25">
            <v>1500000000</v>
          </cell>
          <cell r="N25" t="str">
            <v>02-01-2018</v>
          </cell>
          <cell r="Q25">
            <v>52</v>
          </cell>
          <cell r="S25">
            <v>0.22</v>
          </cell>
          <cell r="X25">
            <v>0</v>
          </cell>
          <cell r="AC25">
            <v>2369786.2434</v>
          </cell>
        </row>
        <row r="27">
          <cell r="A27">
            <v>77242</v>
          </cell>
          <cell r="D27" t="str">
            <v>PAGARE NR</v>
          </cell>
          <cell r="I27" t="str">
            <v>ESTADO</v>
          </cell>
          <cell r="L27">
            <v>500000000</v>
          </cell>
          <cell r="N27" t="str">
            <v>16-01-2018</v>
          </cell>
          <cell r="Q27">
            <v>66</v>
          </cell>
          <cell r="S27">
            <v>0.23</v>
          </cell>
          <cell r="X27">
            <v>0</v>
          </cell>
          <cell r="AC27">
            <v>788951.47389999998</v>
          </cell>
        </row>
        <row r="29">
          <cell r="A29">
            <v>77711</v>
          </cell>
          <cell r="D29" t="str">
            <v>PAGARE NR</v>
          </cell>
          <cell r="I29" t="str">
            <v>FALABELLA</v>
          </cell>
          <cell r="L29">
            <v>2000000000</v>
          </cell>
          <cell r="N29" t="str">
            <v>03-01-2018</v>
          </cell>
          <cell r="Q29">
            <v>53</v>
          </cell>
          <cell r="S29">
            <v>0.22</v>
          </cell>
          <cell r="X29">
            <v>0</v>
          </cell>
          <cell r="AC29">
            <v>3159484.1597000002</v>
          </cell>
        </row>
        <row r="31">
          <cell r="A31">
            <v>77712</v>
          </cell>
          <cell r="D31" t="str">
            <v>PAGARE NR</v>
          </cell>
          <cell r="I31" t="str">
            <v>FALABELLA</v>
          </cell>
          <cell r="L31">
            <v>800000000</v>
          </cell>
          <cell r="N31" t="str">
            <v>08-01-2018</v>
          </cell>
          <cell r="Q31">
            <v>58</v>
          </cell>
          <cell r="S31">
            <v>0.23</v>
          </cell>
          <cell r="X31">
            <v>0</v>
          </cell>
          <cell r="AC31">
            <v>1263093.2129000002</v>
          </cell>
        </row>
        <row r="33">
          <cell r="A33">
            <v>76684</v>
          </cell>
          <cell r="D33" t="str">
            <v>PAGARE NR</v>
          </cell>
          <cell r="I33" t="str">
            <v>ITAUCORP</v>
          </cell>
          <cell r="L33">
            <v>500000000</v>
          </cell>
          <cell r="N33" t="str">
            <v>16-11-2017</v>
          </cell>
          <cell r="Q33">
            <v>5</v>
          </cell>
          <cell r="S33">
            <v>0.22</v>
          </cell>
          <cell r="X33">
            <v>0</v>
          </cell>
          <cell r="AC33">
            <v>792650.57000000007</v>
          </cell>
        </row>
        <row r="35">
          <cell r="A35">
            <v>77953</v>
          </cell>
          <cell r="D35" t="str">
            <v>PAGARE NR</v>
          </cell>
          <cell r="I35" t="str">
            <v>SANTANDER</v>
          </cell>
          <cell r="L35">
            <v>550000000</v>
          </cell>
          <cell r="N35" t="str">
            <v>06-12-2017</v>
          </cell>
          <cell r="Q35">
            <v>25</v>
          </cell>
          <cell r="S35">
            <v>0.21</v>
          </cell>
          <cell r="X35">
            <v>0</v>
          </cell>
          <cell r="AC35">
            <v>870708.59959999996</v>
          </cell>
        </row>
        <row r="37">
          <cell r="A37">
            <v>77536</v>
          </cell>
          <cell r="D37" t="str">
            <v>PAGARE NR</v>
          </cell>
          <cell r="I37" t="str">
            <v>SANTANDER</v>
          </cell>
          <cell r="L37">
            <v>1000000000</v>
          </cell>
          <cell r="N37" t="str">
            <v>20-11-2017</v>
          </cell>
          <cell r="Q37">
            <v>9</v>
          </cell>
          <cell r="S37">
            <v>0.21</v>
          </cell>
          <cell r="X37">
            <v>0</v>
          </cell>
          <cell r="AC37">
            <v>1584878.6302000002</v>
          </cell>
        </row>
        <row r="39">
          <cell r="A39">
            <v>77836</v>
          </cell>
          <cell r="D39" t="str">
            <v>PAGARE NR</v>
          </cell>
          <cell r="I39" t="str">
            <v>SCOTIABANK</v>
          </cell>
          <cell r="L39">
            <v>900000000</v>
          </cell>
          <cell r="N39" t="str">
            <v>30-11-2017</v>
          </cell>
          <cell r="Q39">
            <v>19</v>
          </cell>
          <cell r="S39">
            <v>0.22</v>
          </cell>
          <cell r="X39">
            <v>0</v>
          </cell>
          <cell r="AC39">
            <v>1425308.1396999999</v>
          </cell>
        </row>
        <row r="41">
          <cell r="A41">
            <v>78002</v>
          </cell>
          <cell r="D41" t="str">
            <v>PAGARE NR</v>
          </cell>
          <cell r="I41" t="str">
            <v>SCOTIABANK</v>
          </cell>
          <cell r="L41">
            <v>1800000000</v>
          </cell>
          <cell r="N41" t="str">
            <v>06-12-2017</v>
          </cell>
          <cell r="Q41">
            <v>25</v>
          </cell>
          <cell r="S41">
            <v>0.21</v>
          </cell>
          <cell r="X41">
            <v>0</v>
          </cell>
          <cell r="AC41">
            <v>2849591.7793000001</v>
          </cell>
        </row>
        <row r="43">
          <cell r="A43">
            <v>77837</v>
          </cell>
          <cell r="D43" t="str">
            <v>PAGARE NR</v>
          </cell>
          <cell r="I43" t="str">
            <v>SECURITY</v>
          </cell>
          <cell r="L43">
            <v>727472672</v>
          </cell>
          <cell r="N43" t="str">
            <v>04-12-2017</v>
          </cell>
          <cell r="Q43">
            <v>23</v>
          </cell>
          <cell r="S43">
            <v>0.22</v>
          </cell>
          <cell r="X43">
            <v>0</v>
          </cell>
          <cell r="AC43">
            <v>1151743.4024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A15">
            <v>77535</v>
          </cell>
          <cell r="D15" t="str">
            <v>PAGARE NR</v>
          </cell>
          <cell r="I15" t="str">
            <v>BBVA</v>
          </cell>
          <cell r="L15">
            <v>800000000</v>
          </cell>
          <cell r="N15" t="str">
            <v>02-01-2018</v>
          </cell>
          <cell r="Q15">
            <v>53</v>
          </cell>
          <cell r="S15">
            <v>0.22</v>
          </cell>
          <cell r="X15">
            <v>0</v>
          </cell>
          <cell r="AC15">
            <v>1263793.6632000001</v>
          </cell>
        </row>
        <row r="17">
          <cell r="A17">
            <v>77940</v>
          </cell>
          <cell r="D17" t="str">
            <v>PAGARE NR</v>
          </cell>
          <cell r="I17" t="str">
            <v>BCI</v>
          </cell>
          <cell r="L17">
            <v>1206000000</v>
          </cell>
          <cell r="N17" t="str">
            <v>15-12-2017</v>
          </cell>
          <cell r="Q17">
            <v>35</v>
          </cell>
          <cell r="S17">
            <v>0.22</v>
          </cell>
          <cell r="X17">
            <v>0</v>
          </cell>
          <cell r="AC17">
            <v>1907677.517</v>
          </cell>
        </row>
        <row r="19">
          <cell r="A19">
            <v>77465</v>
          </cell>
          <cell r="D19" t="str">
            <v>PAGARE NR</v>
          </cell>
          <cell r="I19" t="str">
            <v>BCI</v>
          </cell>
          <cell r="L19">
            <v>1000000000</v>
          </cell>
          <cell r="N19" t="str">
            <v>16-11-2017</v>
          </cell>
          <cell r="Q19">
            <v>6</v>
          </cell>
          <cell r="S19">
            <v>0.22</v>
          </cell>
          <cell r="X19">
            <v>0</v>
          </cell>
          <cell r="AC19">
            <v>1585184.9287999999</v>
          </cell>
        </row>
        <row r="21">
          <cell r="A21">
            <v>77941</v>
          </cell>
          <cell r="D21" t="str">
            <v>PAGARE NR</v>
          </cell>
          <cell r="I21" t="str">
            <v>BICE</v>
          </cell>
          <cell r="L21">
            <v>2500000000</v>
          </cell>
          <cell r="N21" t="str">
            <v>01-12-2017</v>
          </cell>
          <cell r="Q21">
            <v>21</v>
          </cell>
          <cell r="S21">
            <v>0.21</v>
          </cell>
          <cell r="X21">
            <v>0</v>
          </cell>
          <cell r="AC21">
            <v>3958872.9848000002</v>
          </cell>
        </row>
        <row r="23">
          <cell r="A23">
            <v>77731</v>
          </cell>
          <cell r="D23" t="str">
            <v>PAGARE NR</v>
          </cell>
          <cell r="I23" t="str">
            <v>ESTADO</v>
          </cell>
          <cell r="L23">
            <v>1100000000</v>
          </cell>
          <cell r="N23" t="str">
            <v>02-01-2018</v>
          </cell>
          <cell r="Q23">
            <v>53</v>
          </cell>
          <cell r="S23">
            <v>0.23</v>
          </cell>
          <cell r="X23">
            <v>0</v>
          </cell>
          <cell r="AC23">
            <v>1737416.2794000001</v>
          </cell>
        </row>
        <row r="25">
          <cell r="A25">
            <v>76963</v>
          </cell>
          <cell r="D25" t="str">
            <v>PAGARE NR</v>
          </cell>
          <cell r="I25" t="str">
            <v>ESTADO</v>
          </cell>
          <cell r="L25">
            <v>1500000000</v>
          </cell>
          <cell r="N25" t="str">
            <v>02-01-2018</v>
          </cell>
          <cell r="Q25">
            <v>53</v>
          </cell>
          <cell r="S25">
            <v>0.22</v>
          </cell>
          <cell r="X25">
            <v>0</v>
          </cell>
          <cell r="AC25">
            <v>2369613.1189999999</v>
          </cell>
        </row>
        <row r="27">
          <cell r="A27">
            <v>77242</v>
          </cell>
          <cell r="D27" t="str">
            <v>PAGARE NR</v>
          </cell>
          <cell r="I27" t="str">
            <v>ESTADO</v>
          </cell>
          <cell r="L27">
            <v>500000000</v>
          </cell>
          <cell r="N27" t="str">
            <v>16-01-2018</v>
          </cell>
          <cell r="Q27">
            <v>67</v>
          </cell>
          <cell r="S27">
            <v>0.23</v>
          </cell>
          <cell r="X27">
            <v>0</v>
          </cell>
          <cell r="AC27">
            <v>788891.29090000002</v>
          </cell>
        </row>
        <row r="29">
          <cell r="A29">
            <v>77711</v>
          </cell>
          <cell r="D29" t="str">
            <v>PAGARE NR</v>
          </cell>
          <cell r="I29" t="str">
            <v>FALABELLA</v>
          </cell>
          <cell r="L29">
            <v>2000000000</v>
          </cell>
          <cell r="N29" t="str">
            <v>03-01-2018</v>
          </cell>
          <cell r="Q29">
            <v>54</v>
          </cell>
          <cell r="S29">
            <v>0.22</v>
          </cell>
          <cell r="X29">
            <v>0</v>
          </cell>
          <cell r="AC29">
            <v>3159253.3610000005</v>
          </cell>
        </row>
        <row r="31">
          <cell r="A31">
            <v>77712</v>
          </cell>
          <cell r="D31" t="str">
            <v>PAGARE NR</v>
          </cell>
          <cell r="I31" t="str">
            <v>FALABELLA</v>
          </cell>
          <cell r="L31">
            <v>800000000</v>
          </cell>
          <cell r="N31" t="str">
            <v>08-01-2018</v>
          </cell>
          <cell r="Q31">
            <v>59</v>
          </cell>
          <cell r="S31">
            <v>0.23</v>
          </cell>
          <cell r="X31">
            <v>0</v>
          </cell>
          <cell r="AC31">
            <v>1262996.8045999999</v>
          </cell>
        </row>
        <row r="33">
          <cell r="A33">
            <v>76684</v>
          </cell>
          <cell r="D33" t="str">
            <v>PAGARE NR</v>
          </cell>
          <cell r="I33" t="str">
            <v>ITAUCORP</v>
          </cell>
          <cell r="L33">
            <v>500000000</v>
          </cell>
          <cell r="N33" t="str">
            <v>16-11-2017</v>
          </cell>
          <cell r="Q33">
            <v>6</v>
          </cell>
          <cell r="S33">
            <v>0.22</v>
          </cell>
          <cell r="X33">
            <v>0</v>
          </cell>
          <cell r="AC33">
            <v>792592.46439999994</v>
          </cell>
        </row>
        <row r="35">
          <cell r="A35">
            <v>77953</v>
          </cell>
          <cell r="D35" t="str">
            <v>PAGARE NR</v>
          </cell>
          <cell r="I35" t="str">
            <v>SANTANDER</v>
          </cell>
          <cell r="L35">
            <v>550000000</v>
          </cell>
          <cell r="N35" t="str">
            <v>06-12-2017</v>
          </cell>
          <cell r="Q35">
            <v>26</v>
          </cell>
          <cell r="S35">
            <v>0.21</v>
          </cell>
          <cell r="X35">
            <v>0</v>
          </cell>
          <cell r="AC35">
            <v>870647.75530000008</v>
          </cell>
        </row>
        <row r="37">
          <cell r="A37">
            <v>77536</v>
          </cell>
          <cell r="D37" t="str">
            <v>PAGARE NR</v>
          </cell>
          <cell r="I37" t="str">
            <v>SANTANDER</v>
          </cell>
          <cell r="L37">
            <v>1000000000</v>
          </cell>
          <cell r="N37" t="str">
            <v>20-11-2017</v>
          </cell>
          <cell r="Q37">
            <v>10</v>
          </cell>
          <cell r="S37">
            <v>0.21</v>
          </cell>
          <cell r="X37">
            <v>0</v>
          </cell>
          <cell r="AC37">
            <v>1584767.7597000001</v>
          </cell>
        </row>
        <row r="39">
          <cell r="A39">
            <v>77836</v>
          </cell>
          <cell r="D39" t="str">
            <v>PAGARE NR</v>
          </cell>
          <cell r="I39" t="str">
            <v>SCOTIABANK</v>
          </cell>
          <cell r="L39">
            <v>900000000</v>
          </cell>
          <cell r="N39" t="str">
            <v>30-11-2017</v>
          </cell>
          <cell r="Q39">
            <v>20</v>
          </cell>
          <cell r="S39">
            <v>0.22</v>
          </cell>
          <cell r="X39">
            <v>0</v>
          </cell>
          <cell r="AC39">
            <v>1425203.763</v>
          </cell>
        </row>
        <row r="41">
          <cell r="A41">
            <v>78002</v>
          </cell>
          <cell r="D41" t="str">
            <v>PAGARE NR</v>
          </cell>
          <cell r="I41" t="str">
            <v>SCOTIABANK</v>
          </cell>
          <cell r="L41">
            <v>1800000000</v>
          </cell>
          <cell r="N41" t="str">
            <v>06-12-2017</v>
          </cell>
          <cell r="Q41">
            <v>26</v>
          </cell>
          <cell r="S41">
            <v>0.21</v>
          </cell>
          <cell r="X41">
            <v>0</v>
          </cell>
          <cell r="AC41">
            <v>2849392.6562999999</v>
          </cell>
        </row>
        <row r="43">
          <cell r="A43">
            <v>77837</v>
          </cell>
          <cell r="D43" t="str">
            <v>PAGARE NR</v>
          </cell>
          <cell r="I43" t="str">
            <v>SECURITY</v>
          </cell>
          <cell r="L43">
            <v>727472672</v>
          </cell>
          <cell r="N43" t="str">
            <v>04-12-2017</v>
          </cell>
          <cell r="Q43">
            <v>24</v>
          </cell>
          <cell r="S43">
            <v>0.22</v>
          </cell>
          <cell r="X43">
            <v>0</v>
          </cell>
          <cell r="AC43">
            <v>1151659.0824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A15">
            <v>80806</v>
          </cell>
          <cell r="D15" t="str">
            <v>PAGARE NR</v>
          </cell>
          <cell r="I15" t="str">
            <v>BCI</v>
          </cell>
          <cell r="L15">
            <v>600000000</v>
          </cell>
          <cell r="N15" t="str">
            <v>08-06-2018</v>
          </cell>
          <cell r="Q15">
            <v>27</v>
          </cell>
          <cell r="S15">
            <v>0.22</v>
          </cell>
          <cell r="X15">
            <v>0</v>
          </cell>
          <cell r="AC15">
            <v>968242.8084000001</v>
          </cell>
        </row>
        <row r="17">
          <cell r="A17">
            <v>80982</v>
          </cell>
          <cell r="D17" t="str">
            <v>PAGARE NR</v>
          </cell>
          <cell r="I17" t="str">
            <v>ESTADO</v>
          </cell>
          <cell r="L17">
            <v>900000000</v>
          </cell>
          <cell r="N17" t="str">
            <v>31-05-2018</v>
          </cell>
          <cell r="Q17">
            <v>19</v>
          </cell>
          <cell r="S17">
            <v>0.21</v>
          </cell>
          <cell r="X17">
            <v>0</v>
          </cell>
          <cell r="AC17">
            <v>1453302.2263</v>
          </cell>
        </row>
        <row r="19">
          <cell r="A19">
            <v>80477</v>
          </cell>
          <cell r="D19" t="str">
            <v>PAGARE NR</v>
          </cell>
          <cell r="I19" t="str">
            <v>ITAUCORP</v>
          </cell>
          <cell r="L19">
            <v>1600000000</v>
          </cell>
          <cell r="N19" t="str">
            <v>13-06-2018</v>
          </cell>
          <cell r="Q19">
            <v>32</v>
          </cell>
          <cell r="S19">
            <v>0.23</v>
          </cell>
          <cell r="X19">
            <v>0</v>
          </cell>
          <cell r="AC19">
            <v>2580770.1697</v>
          </cell>
        </row>
        <row r="21">
          <cell r="A21">
            <v>80946</v>
          </cell>
          <cell r="D21" t="str">
            <v>PAGARE NR</v>
          </cell>
          <cell r="I21" t="str">
            <v>SANTANDER</v>
          </cell>
          <cell r="L21">
            <v>1000000000</v>
          </cell>
          <cell r="N21" t="str">
            <v>01-06-2018</v>
          </cell>
          <cell r="Q21">
            <v>20</v>
          </cell>
          <cell r="S21">
            <v>0.2</v>
          </cell>
          <cell r="X21">
            <v>0</v>
          </cell>
          <cell r="AC21">
            <v>1614769.5004</v>
          </cell>
        </row>
        <row r="23">
          <cell r="A23">
            <v>80851</v>
          </cell>
          <cell r="D23" t="str">
            <v>PAGARE NR</v>
          </cell>
          <cell r="I23" t="str">
            <v>SANTANDER</v>
          </cell>
          <cell r="L23">
            <v>1100000000</v>
          </cell>
          <cell r="N23" t="str">
            <v>01-06-2018</v>
          </cell>
          <cell r="Q23">
            <v>20</v>
          </cell>
          <cell r="S23">
            <v>0.21</v>
          </cell>
          <cell r="X23">
            <v>0</v>
          </cell>
          <cell r="AC23">
            <v>1776134.1034000001</v>
          </cell>
        </row>
        <row r="25">
          <cell r="A25">
            <v>80585</v>
          </cell>
          <cell r="D25" t="str">
            <v>PAGARE NR</v>
          </cell>
          <cell r="I25" t="str">
            <v>SCOTIABANK</v>
          </cell>
          <cell r="L25">
            <v>450000000</v>
          </cell>
          <cell r="N25" t="str">
            <v>11-06-2018</v>
          </cell>
          <cell r="Q25">
            <v>30</v>
          </cell>
          <cell r="S25">
            <v>0.22</v>
          </cell>
          <cell r="X25">
            <v>0</v>
          </cell>
          <cell r="AC25">
            <v>726022.68550000002</v>
          </cell>
        </row>
        <row r="27">
          <cell r="A27">
            <v>80718</v>
          </cell>
          <cell r="D27" t="str">
            <v>PAGARE NR</v>
          </cell>
          <cell r="I27" t="str">
            <v>SCOTIABANK</v>
          </cell>
          <cell r="L27">
            <v>1650000000</v>
          </cell>
          <cell r="N27" t="str">
            <v>24-05-2018</v>
          </cell>
          <cell r="Q27">
            <v>12</v>
          </cell>
          <cell r="S27">
            <v>0.2</v>
          </cell>
          <cell r="X27">
            <v>0</v>
          </cell>
          <cell r="AC27">
            <v>2665789.6313</v>
          </cell>
        </row>
        <row r="29">
          <cell r="A29">
            <v>80837</v>
          </cell>
          <cell r="D29" t="str">
            <v>PAGARE NR</v>
          </cell>
          <cell r="I29" t="str">
            <v>SCOTIABANK</v>
          </cell>
          <cell r="L29">
            <v>1775330355</v>
          </cell>
          <cell r="N29" t="str">
            <v>05-06-2018</v>
          </cell>
          <cell r="Q29">
            <v>24</v>
          </cell>
          <cell r="S29">
            <v>0.21</v>
          </cell>
          <cell r="X29">
            <v>0</v>
          </cell>
          <cell r="AC29">
            <v>2865766.6418000003</v>
          </cell>
        </row>
        <row r="31">
          <cell r="A31">
            <v>80960</v>
          </cell>
          <cell r="D31" t="str">
            <v>PAGARE R</v>
          </cell>
          <cell r="I31" t="str">
            <v>BBVA</v>
          </cell>
          <cell r="L31">
            <v>200000</v>
          </cell>
          <cell r="N31" t="str">
            <v>12-06-2018</v>
          </cell>
          <cell r="Q31">
            <v>31</v>
          </cell>
          <cell r="S31">
            <v>2.21</v>
          </cell>
          <cell r="X31">
            <v>0</v>
          </cell>
          <cell r="AC31">
            <v>199632.34</v>
          </cell>
        </row>
        <row r="33">
          <cell r="A33">
            <v>80961</v>
          </cell>
          <cell r="D33" t="str">
            <v>PAGARE R</v>
          </cell>
          <cell r="I33" t="str">
            <v>BBVA</v>
          </cell>
          <cell r="L33">
            <v>1000000</v>
          </cell>
          <cell r="N33" t="str">
            <v>12-06-2018</v>
          </cell>
          <cell r="Q33">
            <v>31</v>
          </cell>
          <cell r="S33">
            <v>2.2200000000000002</v>
          </cell>
          <cell r="X33">
            <v>0</v>
          </cell>
          <cell r="AC33">
            <v>998153.42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A15">
            <v>77535</v>
          </cell>
          <cell r="D15" t="str">
            <v>PAGARE NR</v>
          </cell>
          <cell r="I15" t="str">
            <v>BBVA</v>
          </cell>
          <cell r="L15">
            <v>800000000</v>
          </cell>
          <cell r="N15" t="str">
            <v>02-01-2018</v>
          </cell>
          <cell r="Q15">
            <v>72</v>
          </cell>
          <cell r="S15">
            <v>0.22</v>
          </cell>
          <cell r="X15">
            <v>0</v>
          </cell>
          <cell r="AC15">
            <v>1265916.2720999999</v>
          </cell>
        </row>
        <row r="17">
          <cell r="A17">
            <v>77507</v>
          </cell>
          <cell r="D17" t="str">
            <v>PAGARE NR</v>
          </cell>
          <cell r="I17" t="str">
            <v>BBVA</v>
          </cell>
          <cell r="L17">
            <v>600000000</v>
          </cell>
          <cell r="N17" t="str">
            <v>02-11-2017</v>
          </cell>
          <cell r="Q17">
            <v>11</v>
          </cell>
          <cell r="S17">
            <v>0.2</v>
          </cell>
          <cell r="X17">
            <v>0</v>
          </cell>
          <cell r="AC17">
            <v>953744.77630000003</v>
          </cell>
        </row>
        <row r="19">
          <cell r="A19">
            <v>77465</v>
          </cell>
          <cell r="D19" t="str">
            <v>PAGARE NR</v>
          </cell>
          <cell r="I19" t="str">
            <v>BCI</v>
          </cell>
          <cell r="L19">
            <v>1000000000</v>
          </cell>
          <cell r="N19" t="str">
            <v>16-11-2017</v>
          </cell>
          <cell r="Q19">
            <v>25</v>
          </cell>
          <cell r="S19">
            <v>0.22</v>
          </cell>
          <cell r="X19">
            <v>0</v>
          </cell>
          <cell r="AC19">
            <v>1587839.7467</v>
          </cell>
        </row>
        <row r="21">
          <cell r="A21">
            <v>76450</v>
          </cell>
          <cell r="D21" t="str">
            <v>PAGARE NR</v>
          </cell>
          <cell r="I21" t="str">
            <v>CHILE</v>
          </cell>
          <cell r="L21">
            <v>2711286000</v>
          </cell>
          <cell r="N21" t="str">
            <v>24-10-2017</v>
          </cell>
          <cell r="Q21">
            <v>2</v>
          </cell>
          <cell r="S21">
            <v>0.22</v>
          </cell>
          <cell r="X21">
            <v>0</v>
          </cell>
          <cell r="AC21">
            <v>4312348.3918000003</v>
          </cell>
        </row>
        <row r="23">
          <cell r="A23">
            <v>77242</v>
          </cell>
          <cell r="D23" t="str">
            <v>PAGARE NR</v>
          </cell>
          <cell r="I23" t="str">
            <v>ESTADO</v>
          </cell>
          <cell r="L23">
            <v>500000000</v>
          </cell>
          <cell r="N23" t="str">
            <v>16-01-2018</v>
          </cell>
          <cell r="Q23">
            <v>86</v>
          </cell>
          <cell r="S23">
            <v>0.23</v>
          </cell>
          <cell r="X23">
            <v>0</v>
          </cell>
          <cell r="AC23">
            <v>790167.91209999996</v>
          </cell>
        </row>
        <row r="25">
          <cell r="A25">
            <v>76963</v>
          </cell>
          <cell r="D25" t="str">
            <v>PAGARE NR</v>
          </cell>
          <cell r="I25" t="str">
            <v>ESTADO</v>
          </cell>
          <cell r="L25">
            <v>1500000000</v>
          </cell>
          <cell r="N25" t="str">
            <v>02-01-2018</v>
          </cell>
          <cell r="Q25">
            <v>72</v>
          </cell>
          <cell r="S25">
            <v>0.22</v>
          </cell>
          <cell r="X25">
            <v>0</v>
          </cell>
          <cell r="AC25">
            <v>2373593.0090999999</v>
          </cell>
        </row>
        <row r="27">
          <cell r="A27">
            <v>76684</v>
          </cell>
          <cell r="D27" t="str">
            <v>PAGARE NR</v>
          </cell>
          <cell r="I27" t="str">
            <v>ITAUCORP</v>
          </cell>
          <cell r="L27">
            <v>500000000</v>
          </cell>
          <cell r="N27" t="str">
            <v>16-11-2017</v>
          </cell>
          <cell r="Q27">
            <v>25</v>
          </cell>
          <cell r="S27">
            <v>0.22</v>
          </cell>
          <cell r="X27">
            <v>0</v>
          </cell>
          <cell r="AC27">
            <v>793919.87329999998</v>
          </cell>
        </row>
        <row r="29">
          <cell r="A29">
            <v>77536</v>
          </cell>
          <cell r="D29" t="str">
            <v>PAGARE NR</v>
          </cell>
          <cell r="I29" t="str">
            <v>SANTANDER</v>
          </cell>
          <cell r="L29">
            <v>1000000000</v>
          </cell>
          <cell r="N29" t="str">
            <v>20-11-2017</v>
          </cell>
          <cell r="Q29">
            <v>29</v>
          </cell>
          <cell r="S29">
            <v>0.21</v>
          </cell>
          <cell r="X29">
            <v>0</v>
          </cell>
          <cell r="AC29">
            <v>1587522.8000999999</v>
          </cell>
        </row>
        <row r="31">
          <cell r="A31">
            <v>77416</v>
          </cell>
          <cell r="D31" t="str">
            <v>PAGARE NR</v>
          </cell>
          <cell r="I31" t="str">
            <v>SANTANDER</v>
          </cell>
          <cell r="L31">
            <v>800000000</v>
          </cell>
          <cell r="N31" t="str">
            <v>03-11-2017</v>
          </cell>
          <cell r="Q31">
            <v>12</v>
          </cell>
          <cell r="S31">
            <v>0.21</v>
          </cell>
          <cell r="X31">
            <v>0</v>
          </cell>
          <cell r="AC31">
            <v>1271528.3991</v>
          </cell>
        </row>
        <row r="33">
          <cell r="A33">
            <v>76760</v>
          </cell>
          <cell r="D33" t="str">
            <v>PAGARE NR</v>
          </cell>
          <cell r="I33" t="str">
            <v>SCOTIABANK</v>
          </cell>
          <cell r="L33">
            <v>1600000000</v>
          </cell>
          <cell r="N33" t="str">
            <v>02-11-2017</v>
          </cell>
          <cell r="Q33">
            <v>11</v>
          </cell>
          <cell r="S33">
            <v>0.23</v>
          </cell>
          <cell r="X33">
            <v>0</v>
          </cell>
          <cell r="AC33">
            <v>2543065.2683999999</v>
          </cell>
        </row>
        <row r="35">
          <cell r="A35">
            <v>76787</v>
          </cell>
          <cell r="D35" t="str">
            <v>PAGARE NR</v>
          </cell>
          <cell r="I35" t="str">
            <v>SCOTIABANK</v>
          </cell>
          <cell r="L35">
            <v>2000000000</v>
          </cell>
          <cell r="N35" t="str">
            <v>07-11-2017</v>
          </cell>
          <cell r="Q35">
            <v>16</v>
          </cell>
          <cell r="S35">
            <v>0.23</v>
          </cell>
          <cell r="X35">
            <v>0</v>
          </cell>
          <cell r="AC35">
            <v>3177614.4334</v>
          </cell>
        </row>
        <row r="37">
          <cell r="A37">
            <v>77547</v>
          </cell>
          <cell r="D37" t="str">
            <v>PAGARE NR</v>
          </cell>
          <cell r="I37" t="str">
            <v>SECURITY</v>
          </cell>
          <cell r="L37">
            <v>1500000000</v>
          </cell>
          <cell r="N37" t="str">
            <v>31-10-2017</v>
          </cell>
          <cell r="Q37">
            <v>9</v>
          </cell>
          <cell r="S37">
            <v>0.19</v>
          </cell>
          <cell r="X37">
            <v>0</v>
          </cell>
          <cell r="AC37">
            <v>2384743.2477000002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A15">
            <v>77535</v>
          </cell>
          <cell r="D15" t="str">
            <v>PAGARE NR</v>
          </cell>
          <cell r="I15" t="str">
            <v>BBVA</v>
          </cell>
          <cell r="L15">
            <v>800000000</v>
          </cell>
          <cell r="N15" t="str">
            <v>02-01-2018</v>
          </cell>
          <cell r="Q15">
            <v>51</v>
          </cell>
          <cell r="S15">
            <v>0.22</v>
          </cell>
          <cell r="X15">
            <v>0</v>
          </cell>
          <cell r="AC15">
            <v>1263978.3430999999</v>
          </cell>
        </row>
        <row r="17">
          <cell r="A17">
            <v>77940</v>
          </cell>
          <cell r="D17" t="str">
            <v>PAGARE NR</v>
          </cell>
          <cell r="I17" t="str">
            <v>BCI</v>
          </cell>
          <cell r="L17">
            <v>1206000000</v>
          </cell>
          <cell r="N17" t="str">
            <v>15-12-2017</v>
          </cell>
          <cell r="Q17">
            <v>33</v>
          </cell>
          <cell r="S17">
            <v>0.22</v>
          </cell>
          <cell r="X17">
            <v>0</v>
          </cell>
          <cell r="AC17">
            <v>1907956.6546</v>
          </cell>
        </row>
        <row r="19">
          <cell r="A19">
            <v>77465</v>
          </cell>
          <cell r="D19" t="str">
            <v>PAGARE NR</v>
          </cell>
          <cell r="I19" t="str">
            <v>BCI</v>
          </cell>
          <cell r="L19">
            <v>1000000000</v>
          </cell>
          <cell r="N19" t="str">
            <v>16-11-2017</v>
          </cell>
          <cell r="Q19">
            <v>4</v>
          </cell>
          <cell r="S19">
            <v>0.22</v>
          </cell>
          <cell r="X19">
            <v>0</v>
          </cell>
          <cell r="AC19">
            <v>1585417.3703999999</v>
          </cell>
        </row>
        <row r="21">
          <cell r="A21">
            <v>77941</v>
          </cell>
          <cell r="D21" t="str">
            <v>PAGARE NR</v>
          </cell>
          <cell r="I21" t="str">
            <v>BICE</v>
          </cell>
          <cell r="L21">
            <v>2500000000</v>
          </cell>
          <cell r="N21" t="str">
            <v>01-12-2017</v>
          </cell>
          <cell r="Q21">
            <v>19</v>
          </cell>
          <cell r="S21">
            <v>0.21</v>
          </cell>
          <cell r="X21">
            <v>0</v>
          </cell>
          <cell r="AC21">
            <v>3959426.5298000001</v>
          </cell>
        </row>
        <row r="23">
          <cell r="A23">
            <v>77731</v>
          </cell>
          <cell r="D23" t="str">
            <v>PAGARE NR</v>
          </cell>
          <cell r="I23" t="str">
            <v>ESTADO</v>
          </cell>
          <cell r="L23">
            <v>1100000000</v>
          </cell>
          <cell r="N23" t="str">
            <v>02-01-2018</v>
          </cell>
          <cell r="Q23">
            <v>51</v>
          </cell>
          <cell r="S23">
            <v>0.23</v>
          </cell>
          <cell r="X23">
            <v>0</v>
          </cell>
          <cell r="AC23">
            <v>1737681.6653</v>
          </cell>
        </row>
        <row r="25">
          <cell r="A25">
            <v>76963</v>
          </cell>
          <cell r="D25" t="str">
            <v>PAGARE NR</v>
          </cell>
          <cell r="I25" t="str">
            <v>ESTADO</v>
          </cell>
          <cell r="L25">
            <v>1500000000</v>
          </cell>
          <cell r="N25" t="str">
            <v>02-01-2018</v>
          </cell>
          <cell r="Q25">
            <v>51</v>
          </cell>
          <cell r="S25">
            <v>0.22</v>
          </cell>
          <cell r="X25">
            <v>0</v>
          </cell>
          <cell r="AC25">
            <v>2369959.3931999998</v>
          </cell>
        </row>
        <row r="27">
          <cell r="A27">
            <v>77242</v>
          </cell>
          <cell r="D27" t="str">
            <v>PAGARE NR</v>
          </cell>
          <cell r="I27" t="str">
            <v>ESTADO</v>
          </cell>
          <cell r="L27">
            <v>500000000</v>
          </cell>
          <cell r="N27" t="str">
            <v>16-01-2018</v>
          </cell>
          <cell r="Q27">
            <v>65</v>
          </cell>
          <cell r="S27">
            <v>0.23</v>
          </cell>
          <cell r="X27">
            <v>0</v>
          </cell>
          <cell r="AC27">
            <v>789011.66480000003</v>
          </cell>
        </row>
        <row r="29">
          <cell r="A29">
            <v>77711</v>
          </cell>
          <cell r="D29" t="str">
            <v>PAGARE NR</v>
          </cell>
          <cell r="I29" t="str">
            <v>FALABELLA</v>
          </cell>
          <cell r="L29">
            <v>2000000000</v>
          </cell>
          <cell r="N29" t="str">
            <v>03-01-2018</v>
          </cell>
          <cell r="Q29">
            <v>52</v>
          </cell>
          <cell r="S29">
            <v>0.22</v>
          </cell>
          <cell r="X29">
            <v>0</v>
          </cell>
          <cell r="AC29">
            <v>3159714.9918</v>
          </cell>
        </row>
        <row r="31">
          <cell r="A31">
            <v>77712</v>
          </cell>
          <cell r="D31" t="str">
            <v>PAGARE NR</v>
          </cell>
          <cell r="I31" t="str">
            <v>FALABELLA</v>
          </cell>
          <cell r="L31">
            <v>800000000</v>
          </cell>
          <cell r="N31" t="str">
            <v>08-01-2018</v>
          </cell>
          <cell r="Q31">
            <v>57</v>
          </cell>
          <cell r="S31">
            <v>0.23</v>
          </cell>
          <cell r="X31">
            <v>0</v>
          </cell>
          <cell r="AC31">
            <v>1263189.6354</v>
          </cell>
        </row>
        <row r="33">
          <cell r="A33">
            <v>76684</v>
          </cell>
          <cell r="D33" t="str">
            <v>PAGARE NR</v>
          </cell>
          <cell r="I33" t="str">
            <v>ITAUCORP</v>
          </cell>
          <cell r="L33">
            <v>500000000</v>
          </cell>
          <cell r="N33" t="str">
            <v>16-11-2017</v>
          </cell>
          <cell r="Q33">
            <v>4</v>
          </cell>
          <cell r="S33">
            <v>0.22</v>
          </cell>
          <cell r="X33">
            <v>0</v>
          </cell>
          <cell r="AC33">
            <v>792708.68519999995</v>
          </cell>
        </row>
        <row r="35">
          <cell r="A35">
            <v>77953</v>
          </cell>
          <cell r="D35" t="str">
            <v>PAGARE NR</v>
          </cell>
          <cell r="I35" t="str">
            <v>SANTANDER</v>
          </cell>
          <cell r="L35">
            <v>550000000</v>
          </cell>
          <cell r="N35" t="str">
            <v>06-12-2017</v>
          </cell>
          <cell r="Q35">
            <v>24</v>
          </cell>
          <cell r="S35">
            <v>0.21</v>
          </cell>
          <cell r="X35">
            <v>0</v>
          </cell>
          <cell r="AC35">
            <v>870769.45019999996</v>
          </cell>
        </row>
        <row r="37">
          <cell r="A37">
            <v>77536</v>
          </cell>
          <cell r="D37" t="str">
            <v>PAGARE NR</v>
          </cell>
          <cell r="I37" t="str">
            <v>SANTANDER</v>
          </cell>
          <cell r="L37">
            <v>1000000000</v>
          </cell>
          <cell r="N37" t="str">
            <v>20-11-2017</v>
          </cell>
          <cell r="Q37">
            <v>8</v>
          </cell>
          <cell r="S37">
            <v>0.21</v>
          </cell>
          <cell r="X37">
            <v>0</v>
          </cell>
          <cell r="AC37">
            <v>1584989.5180000002</v>
          </cell>
        </row>
        <row r="39">
          <cell r="A39">
            <v>77836</v>
          </cell>
          <cell r="D39" t="str">
            <v>PAGARE NR</v>
          </cell>
          <cell r="I39" t="str">
            <v>SCOTIABANK</v>
          </cell>
          <cell r="L39">
            <v>900000000</v>
          </cell>
          <cell r="N39" t="str">
            <v>30-11-2017</v>
          </cell>
          <cell r="Q39">
            <v>18</v>
          </cell>
          <cell r="S39">
            <v>0.22</v>
          </cell>
          <cell r="X39">
            <v>0</v>
          </cell>
          <cell r="AC39">
            <v>1425412.5322999998</v>
          </cell>
        </row>
        <row r="41">
          <cell r="A41">
            <v>78002</v>
          </cell>
          <cell r="D41" t="str">
            <v>PAGARE NR</v>
          </cell>
          <cell r="I41" t="str">
            <v>SCOTIABANK</v>
          </cell>
          <cell r="L41">
            <v>1800000000</v>
          </cell>
          <cell r="N41" t="str">
            <v>06-12-2017</v>
          </cell>
          <cell r="Q41">
            <v>24</v>
          </cell>
          <cell r="S41">
            <v>0.21</v>
          </cell>
          <cell r="X41">
            <v>0</v>
          </cell>
          <cell r="AC41">
            <v>2849790.9294000003</v>
          </cell>
        </row>
        <row r="43">
          <cell r="A43">
            <v>77837</v>
          </cell>
          <cell r="D43" t="str">
            <v>PAGARE NR</v>
          </cell>
          <cell r="I43" t="str">
            <v>SECURITY</v>
          </cell>
          <cell r="L43">
            <v>727472672</v>
          </cell>
          <cell r="N43" t="str">
            <v>04-12-2017</v>
          </cell>
          <cell r="Q43">
            <v>22</v>
          </cell>
          <cell r="S43">
            <v>0.22</v>
          </cell>
          <cell r="X43">
            <v>0</v>
          </cell>
          <cell r="AC43">
            <v>1151827.7334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A15">
            <v>78762</v>
          </cell>
          <cell r="D15" t="str">
            <v>PAGARE NR</v>
          </cell>
          <cell r="I15" t="str">
            <v>BCI</v>
          </cell>
          <cell r="L15">
            <v>700000000</v>
          </cell>
          <cell r="N15" t="str">
            <v>29-01-2018</v>
          </cell>
          <cell r="Q15">
            <v>15</v>
          </cell>
          <cell r="S15">
            <v>0.25</v>
          </cell>
          <cell r="X15">
            <v>0</v>
          </cell>
          <cell r="AC15">
            <v>1157417.4129000001</v>
          </cell>
        </row>
        <row r="17">
          <cell r="A17">
            <v>78876</v>
          </cell>
          <cell r="D17" t="str">
            <v>PAGARE NR</v>
          </cell>
          <cell r="I17" t="str">
            <v>BCI</v>
          </cell>
          <cell r="L17">
            <v>908100000</v>
          </cell>
          <cell r="N17" t="str">
            <v>01-02-2018</v>
          </cell>
          <cell r="Q17">
            <v>18</v>
          </cell>
          <cell r="S17">
            <v>0.23</v>
          </cell>
          <cell r="X17">
            <v>0</v>
          </cell>
          <cell r="AC17">
            <v>1501296.1379</v>
          </cell>
        </row>
        <row r="19">
          <cell r="A19">
            <v>78749</v>
          </cell>
          <cell r="D19" t="str">
            <v>PAGARE NR</v>
          </cell>
          <cell r="I19" t="str">
            <v>CHILE</v>
          </cell>
          <cell r="L19">
            <v>800000000</v>
          </cell>
          <cell r="N19" t="str">
            <v>24-01-2018</v>
          </cell>
          <cell r="Q19">
            <v>10</v>
          </cell>
          <cell r="S19">
            <v>0.25</v>
          </cell>
          <cell r="X19">
            <v>0</v>
          </cell>
          <cell r="AC19">
            <v>1323313.4963</v>
          </cell>
        </row>
        <row r="21">
          <cell r="A21">
            <v>77242</v>
          </cell>
          <cell r="D21" t="str">
            <v>PAGARE NR</v>
          </cell>
          <cell r="I21" t="str">
            <v>ESTADO</v>
          </cell>
          <cell r="L21">
            <v>500000000</v>
          </cell>
          <cell r="N21" t="str">
            <v>16-01-2018</v>
          </cell>
          <cell r="Q21">
            <v>2</v>
          </cell>
          <cell r="S21">
            <v>0.23</v>
          </cell>
          <cell r="X21">
            <v>0</v>
          </cell>
          <cell r="AC21">
            <v>827627.78720000002</v>
          </cell>
        </row>
        <row r="23">
          <cell r="A23">
            <v>79194</v>
          </cell>
          <cell r="D23" t="str">
            <v>PAGARE NR</v>
          </cell>
          <cell r="I23" t="str">
            <v>ITAUCORP</v>
          </cell>
          <cell r="L23">
            <v>600000000</v>
          </cell>
          <cell r="N23" t="str">
            <v>07-03-2018</v>
          </cell>
          <cell r="Q23">
            <v>52</v>
          </cell>
          <cell r="S23">
            <v>0.23</v>
          </cell>
          <cell r="X23">
            <v>0</v>
          </cell>
          <cell r="AC23">
            <v>989361.08360000001</v>
          </cell>
        </row>
        <row r="25">
          <cell r="A25">
            <v>78875</v>
          </cell>
          <cell r="D25" t="str">
            <v>PAGARE NR</v>
          </cell>
          <cell r="I25" t="str">
            <v>SANTANDER</v>
          </cell>
          <cell r="L25">
            <v>1000000000</v>
          </cell>
          <cell r="N25" t="str">
            <v>05-02-2018</v>
          </cell>
          <cell r="Q25">
            <v>22</v>
          </cell>
          <cell r="S25">
            <v>0.23</v>
          </cell>
          <cell r="X25">
            <v>0</v>
          </cell>
          <cell r="AC25">
            <v>1652721.5944000001</v>
          </cell>
        </row>
        <row r="27">
          <cell r="A27">
            <v>78755</v>
          </cell>
          <cell r="D27" t="str">
            <v>PAGARE NR</v>
          </cell>
          <cell r="I27" t="str">
            <v>SCOTIABANK</v>
          </cell>
          <cell r="L27">
            <v>1600000000</v>
          </cell>
          <cell r="N27" t="str">
            <v>05-02-2018</v>
          </cell>
          <cell r="Q27">
            <v>22</v>
          </cell>
          <cell r="S27">
            <v>0.25</v>
          </cell>
          <cell r="X27">
            <v>0</v>
          </cell>
          <cell r="AC27">
            <v>2643984.9873000002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A15">
            <v>80806</v>
          </cell>
          <cell r="D15" t="str">
            <v>PAGARE NR</v>
          </cell>
          <cell r="I15" t="str">
            <v>BCI</v>
          </cell>
          <cell r="L15">
            <v>600000000</v>
          </cell>
          <cell r="N15" t="str">
            <v>08-06-2018</v>
          </cell>
          <cell r="Q15">
            <v>26</v>
          </cell>
          <cell r="S15">
            <v>0.22</v>
          </cell>
          <cell r="X15">
            <v>0</v>
          </cell>
          <cell r="AC15">
            <v>968313.68310000002</v>
          </cell>
        </row>
        <row r="17">
          <cell r="A17">
            <v>80982</v>
          </cell>
          <cell r="D17" t="str">
            <v>PAGARE NR</v>
          </cell>
          <cell r="I17" t="str">
            <v>ESTADO</v>
          </cell>
          <cell r="L17">
            <v>900000000</v>
          </cell>
          <cell r="N17" t="str">
            <v>31-05-2018</v>
          </cell>
          <cell r="Q17">
            <v>18</v>
          </cell>
          <cell r="S17">
            <v>0.21</v>
          </cell>
          <cell r="X17">
            <v>0</v>
          </cell>
          <cell r="AC17">
            <v>1453403.8366999999</v>
          </cell>
        </row>
        <row r="19">
          <cell r="A19">
            <v>80477</v>
          </cell>
          <cell r="D19" t="str">
            <v>PAGARE NR</v>
          </cell>
          <cell r="I19" t="str">
            <v>ITAUCORP</v>
          </cell>
          <cell r="L19">
            <v>1600000000</v>
          </cell>
          <cell r="N19" t="str">
            <v>13-06-2018</v>
          </cell>
          <cell r="Q19">
            <v>31</v>
          </cell>
          <cell r="S19">
            <v>0.23</v>
          </cell>
          <cell r="X19">
            <v>0</v>
          </cell>
          <cell r="AC19">
            <v>2580967.5747000002</v>
          </cell>
        </row>
        <row r="21">
          <cell r="A21">
            <v>80946</v>
          </cell>
          <cell r="D21" t="str">
            <v>PAGARE NR</v>
          </cell>
          <cell r="I21" t="str">
            <v>SANTANDER</v>
          </cell>
          <cell r="L21">
            <v>1000000000</v>
          </cell>
          <cell r="N21" t="str">
            <v>01-06-2018</v>
          </cell>
          <cell r="Q21">
            <v>19</v>
          </cell>
          <cell r="S21">
            <v>0.2</v>
          </cell>
          <cell r="X21">
            <v>0</v>
          </cell>
          <cell r="AC21">
            <v>1614877.0218000002</v>
          </cell>
        </row>
        <row r="23">
          <cell r="A23">
            <v>80851</v>
          </cell>
          <cell r="D23" t="str">
            <v>PAGARE NR</v>
          </cell>
          <cell r="I23" t="str">
            <v>SANTANDER</v>
          </cell>
          <cell r="L23">
            <v>1100000000</v>
          </cell>
          <cell r="N23" t="str">
            <v>01-06-2018</v>
          </cell>
          <cell r="Q23">
            <v>19</v>
          </cell>
          <cell r="S23">
            <v>0.21</v>
          </cell>
          <cell r="X23">
            <v>0</v>
          </cell>
          <cell r="AC23">
            <v>1776258.2763999999</v>
          </cell>
        </row>
        <row r="25">
          <cell r="A25">
            <v>80585</v>
          </cell>
          <cell r="D25" t="str">
            <v>PAGARE NR</v>
          </cell>
          <cell r="I25" t="str">
            <v>SCOTIABANK</v>
          </cell>
          <cell r="L25">
            <v>450000000</v>
          </cell>
          <cell r="N25" t="str">
            <v>11-06-2018</v>
          </cell>
          <cell r="Q25">
            <v>29</v>
          </cell>
          <cell r="S25">
            <v>0.22</v>
          </cell>
          <cell r="X25">
            <v>0</v>
          </cell>
          <cell r="AC25">
            <v>726075.81720000005</v>
          </cell>
        </row>
        <row r="27">
          <cell r="A27">
            <v>80718</v>
          </cell>
          <cell r="D27" t="str">
            <v>PAGARE NR</v>
          </cell>
          <cell r="I27" t="str">
            <v>SCOTIABANK</v>
          </cell>
          <cell r="L27">
            <v>1650000000</v>
          </cell>
          <cell r="N27" t="str">
            <v>24-05-2018</v>
          </cell>
          <cell r="Q27">
            <v>11</v>
          </cell>
          <cell r="S27">
            <v>0.2</v>
          </cell>
          <cell r="X27">
            <v>0</v>
          </cell>
          <cell r="AC27">
            <v>2665967.2319999998</v>
          </cell>
        </row>
        <row r="29">
          <cell r="A29">
            <v>80837</v>
          </cell>
          <cell r="D29" t="str">
            <v>PAGARE NR</v>
          </cell>
          <cell r="I29" t="str">
            <v>SCOTIABANK</v>
          </cell>
          <cell r="L29">
            <v>1775330355</v>
          </cell>
          <cell r="N29" t="str">
            <v>05-06-2018</v>
          </cell>
          <cell r="Q29">
            <v>23</v>
          </cell>
          <cell r="S29">
            <v>0.21</v>
          </cell>
          <cell r="X29">
            <v>0</v>
          </cell>
          <cell r="AC29">
            <v>2865966.9361</v>
          </cell>
        </row>
        <row r="31">
          <cell r="A31">
            <v>80960</v>
          </cell>
          <cell r="D31" t="str">
            <v>PAGARE R</v>
          </cell>
          <cell r="I31" t="str">
            <v>BBVA</v>
          </cell>
          <cell r="L31">
            <v>200000</v>
          </cell>
          <cell r="N31" t="str">
            <v>12-06-2018</v>
          </cell>
          <cell r="Q31">
            <v>30</v>
          </cell>
          <cell r="S31">
            <v>2.21</v>
          </cell>
          <cell r="X31">
            <v>0</v>
          </cell>
          <cell r="AC31">
            <v>199644.58000000002</v>
          </cell>
        </row>
        <row r="33">
          <cell r="A33">
            <v>80961</v>
          </cell>
          <cell r="D33" t="str">
            <v>PAGARE R</v>
          </cell>
          <cell r="I33" t="str">
            <v>BBVA</v>
          </cell>
          <cell r="L33">
            <v>1000000</v>
          </cell>
          <cell r="N33" t="str">
            <v>12-06-2018</v>
          </cell>
          <cell r="Q33">
            <v>30</v>
          </cell>
          <cell r="S33">
            <v>2.2200000000000002</v>
          </cell>
          <cell r="X33">
            <v>0</v>
          </cell>
          <cell r="AC33">
            <v>998214.86</v>
          </cell>
        </row>
        <row r="35">
          <cell r="A35">
            <v>80401</v>
          </cell>
          <cell r="D35" t="str">
            <v>PAGARE R</v>
          </cell>
          <cell r="I35" t="str">
            <v>BBVA</v>
          </cell>
          <cell r="L35">
            <v>1100000</v>
          </cell>
          <cell r="N35" t="str">
            <v>08-06-2018</v>
          </cell>
          <cell r="Q35">
            <v>26</v>
          </cell>
          <cell r="S35">
            <v>2.25</v>
          </cell>
          <cell r="X35">
            <v>0</v>
          </cell>
          <cell r="AC35">
            <v>1098283.93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5">
          <cell r="A15">
            <v>80556</v>
          </cell>
          <cell r="D15" t="str">
            <v>PAGARE NR</v>
          </cell>
          <cell r="I15" t="str">
            <v>BCI</v>
          </cell>
          <cell r="L15">
            <v>1500000000</v>
          </cell>
          <cell r="N15" t="str">
            <v>11-05-2018</v>
          </cell>
          <cell r="Q15">
            <v>19</v>
          </cell>
          <cell r="S15">
            <v>0.22</v>
          </cell>
          <cell r="X15">
            <v>0</v>
          </cell>
          <cell r="AC15">
            <v>2512364.7568999999</v>
          </cell>
        </row>
        <row r="17">
          <cell r="A17">
            <v>80340</v>
          </cell>
          <cell r="D17" t="str">
            <v>PAGARE NR</v>
          </cell>
          <cell r="I17" t="str">
            <v>CHILE</v>
          </cell>
          <cell r="L17">
            <v>2000000000</v>
          </cell>
          <cell r="N17" t="str">
            <v>02-05-2018</v>
          </cell>
          <cell r="Q17">
            <v>10</v>
          </cell>
          <cell r="S17">
            <v>0.22</v>
          </cell>
          <cell r="X17">
            <v>0</v>
          </cell>
          <cell r="AC17">
            <v>3352029.0997000001</v>
          </cell>
        </row>
        <row r="19">
          <cell r="A19">
            <v>80374</v>
          </cell>
          <cell r="D19" t="str">
            <v>PAGARE NR</v>
          </cell>
          <cell r="I19" t="str">
            <v>FALABELLA</v>
          </cell>
          <cell r="L19">
            <v>1800000000</v>
          </cell>
          <cell r="N19" t="str">
            <v>25-04-2018</v>
          </cell>
          <cell r="Q19">
            <v>3</v>
          </cell>
          <cell r="S19">
            <v>0.21</v>
          </cell>
          <cell r="X19">
            <v>0</v>
          </cell>
          <cell r="AC19">
            <v>3018394.7187000001</v>
          </cell>
        </row>
        <row r="21">
          <cell r="A21">
            <v>80477</v>
          </cell>
          <cell r="D21" t="str">
            <v>PAGARE NR</v>
          </cell>
          <cell r="I21" t="str">
            <v>ITAUCORP</v>
          </cell>
          <cell r="L21">
            <v>1600000000</v>
          </cell>
          <cell r="N21" t="str">
            <v>13-06-2018</v>
          </cell>
          <cell r="Q21">
            <v>52</v>
          </cell>
          <cell r="S21">
            <v>0.23</v>
          </cell>
          <cell r="X21">
            <v>0</v>
          </cell>
          <cell r="AC21">
            <v>2672941.9481000002</v>
          </cell>
        </row>
        <row r="23">
          <cell r="A23">
            <v>80585</v>
          </cell>
          <cell r="D23" t="str">
            <v>PAGARE NR</v>
          </cell>
          <cell r="I23" t="str">
            <v>SCOTIABANK</v>
          </cell>
          <cell r="L23">
            <v>450000000</v>
          </cell>
          <cell r="N23" t="str">
            <v>11-06-2018</v>
          </cell>
          <cell r="Q23">
            <v>50</v>
          </cell>
          <cell r="S23">
            <v>0.22</v>
          </cell>
          <cell r="X23">
            <v>0</v>
          </cell>
          <cell r="AC23">
            <v>752002.12989999994</v>
          </cell>
        </row>
        <row r="25">
          <cell r="A25">
            <v>80718</v>
          </cell>
          <cell r="D25" t="str">
            <v>PAGARE NR</v>
          </cell>
          <cell r="I25" t="str">
            <v>SCOTIABANK</v>
          </cell>
          <cell r="L25">
            <v>1650000000</v>
          </cell>
          <cell r="N25" t="str">
            <v>24-05-2018</v>
          </cell>
          <cell r="Q25">
            <v>32</v>
          </cell>
          <cell r="S25">
            <v>0.2</v>
          </cell>
          <cell r="X25">
            <v>0</v>
          </cell>
          <cell r="AC25">
            <v>2761542.0000999998</v>
          </cell>
        </row>
        <row r="27">
          <cell r="A27">
            <v>80011</v>
          </cell>
          <cell r="D27" t="str">
            <v>PAGARE R</v>
          </cell>
          <cell r="I27" t="str">
            <v>BBVA</v>
          </cell>
          <cell r="L27">
            <v>1000000</v>
          </cell>
          <cell r="N27" t="str">
            <v>07-05-2018</v>
          </cell>
          <cell r="Q27">
            <v>15</v>
          </cell>
          <cell r="S27">
            <v>1.71</v>
          </cell>
          <cell r="X27">
            <v>0</v>
          </cell>
          <cell r="AC27">
            <v>999335.44000000006</v>
          </cell>
        </row>
        <row r="29">
          <cell r="A29">
            <v>79569</v>
          </cell>
          <cell r="D29" t="str">
            <v>PAGARE R</v>
          </cell>
          <cell r="I29" t="str">
            <v>BBVA</v>
          </cell>
          <cell r="L29">
            <v>1000000</v>
          </cell>
          <cell r="N29" t="str">
            <v>03-05-2018</v>
          </cell>
          <cell r="Q29">
            <v>11</v>
          </cell>
          <cell r="S29">
            <v>1.8</v>
          </cell>
          <cell r="X29">
            <v>0</v>
          </cell>
          <cell r="AC29">
            <v>999500.25</v>
          </cell>
        </row>
        <row r="31">
          <cell r="A31">
            <v>80401</v>
          </cell>
          <cell r="D31" t="str">
            <v>PAGARE R</v>
          </cell>
          <cell r="I31" t="str">
            <v>BBVA</v>
          </cell>
          <cell r="L31">
            <v>1100000</v>
          </cell>
          <cell r="N31" t="str">
            <v>08-06-2018</v>
          </cell>
          <cell r="Q31">
            <v>47</v>
          </cell>
          <cell r="S31">
            <v>2.25</v>
          </cell>
          <cell r="X31">
            <v>0</v>
          </cell>
          <cell r="AC31">
            <v>1096846.57</v>
          </cell>
        </row>
        <row r="33">
          <cell r="A33">
            <v>80715</v>
          </cell>
          <cell r="D33" t="str">
            <v>PAGARE R</v>
          </cell>
          <cell r="I33" t="str">
            <v>BCI</v>
          </cell>
          <cell r="L33">
            <v>450000</v>
          </cell>
          <cell r="N33" t="str">
            <v>30-04-2018</v>
          </cell>
          <cell r="Q33">
            <v>8</v>
          </cell>
          <cell r="S33">
            <v>1.83</v>
          </cell>
          <cell r="X33">
            <v>0</v>
          </cell>
          <cell r="AC33">
            <v>449839.93</v>
          </cell>
        </row>
        <row r="35">
          <cell r="A35">
            <v>80558</v>
          </cell>
          <cell r="D35" t="str">
            <v>PAGARE R</v>
          </cell>
          <cell r="I35" t="str">
            <v>CCB</v>
          </cell>
          <cell r="L35">
            <v>1000000</v>
          </cell>
          <cell r="N35" t="str">
            <v>03-05-2018</v>
          </cell>
          <cell r="Q35">
            <v>11</v>
          </cell>
          <cell r="S35">
            <v>2.15</v>
          </cell>
          <cell r="X35">
            <v>0</v>
          </cell>
          <cell r="AC35">
            <v>999403.13</v>
          </cell>
        </row>
        <row r="37">
          <cell r="A37">
            <v>80576</v>
          </cell>
          <cell r="D37" t="str">
            <v>PAGARE R</v>
          </cell>
          <cell r="I37" t="str">
            <v>CCB</v>
          </cell>
          <cell r="L37">
            <v>1000000</v>
          </cell>
          <cell r="N37" t="str">
            <v>04-06-2018</v>
          </cell>
          <cell r="Q37">
            <v>43</v>
          </cell>
          <cell r="S37">
            <v>2.25</v>
          </cell>
          <cell r="X37">
            <v>0</v>
          </cell>
          <cell r="AC37">
            <v>997381.87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f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A15">
            <v>77535</v>
          </cell>
          <cell r="D15" t="str">
            <v>PAGARE NR</v>
          </cell>
          <cell r="I15" t="str">
            <v>BBVA</v>
          </cell>
          <cell r="L15">
            <v>800000000</v>
          </cell>
          <cell r="N15" t="str">
            <v>02-01-2018</v>
          </cell>
          <cell r="Q15">
            <v>71</v>
          </cell>
          <cell r="S15">
            <v>0.22</v>
          </cell>
          <cell r="X15">
            <v>0</v>
          </cell>
          <cell r="AC15">
            <v>1261413.8659000001</v>
          </cell>
        </row>
        <row r="17">
          <cell r="A17">
            <v>77507</v>
          </cell>
          <cell r="D17" t="str">
            <v>PAGARE NR</v>
          </cell>
          <cell r="I17" t="str">
            <v>BBVA</v>
          </cell>
          <cell r="L17">
            <v>600000000</v>
          </cell>
          <cell r="N17" t="str">
            <v>02-11-2017</v>
          </cell>
          <cell r="Q17">
            <v>10</v>
          </cell>
          <cell r="S17">
            <v>0.2</v>
          </cell>
          <cell r="X17">
            <v>0</v>
          </cell>
          <cell r="AC17">
            <v>950346.63450000004</v>
          </cell>
        </row>
        <row r="19">
          <cell r="A19">
            <v>77465</v>
          </cell>
          <cell r="D19" t="str">
            <v>PAGARE NR</v>
          </cell>
          <cell r="I19" t="str">
            <v>BCI</v>
          </cell>
          <cell r="L19">
            <v>1000000000</v>
          </cell>
          <cell r="N19" t="str">
            <v>16-11-2017</v>
          </cell>
          <cell r="Q19">
            <v>24</v>
          </cell>
          <cell r="S19">
            <v>0.22</v>
          </cell>
          <cell r="X19">
            <v>0</v>
          </cell>
          <cell r="AC19">
            <v>1582192.7714</v>
          </cell>
        </row>
        <row r="21">
          <cell r="A21">
            <v>76450</v>
          </cell>
          <cell r="D21" t="str">
            <v>PAGARE NR</v>
          </cell>
          <cell r="I21" t="str">
            <v>CHILE</v>
          </cell>
          <cell r="L21">
            <v>2711286000</v>
          </cell>
          <cell r="N21" t="str">
            <v>24-10-2017</v>
          </cell>
          <cell r="Q21">
            <v>1</v>
          </cell>
          <cell r="S21">
            <v>0.22</v>
          </cell>
          <cell r="X21">
            <v>0</v>
          </cell>
          <cell r="AC21">
            <v>4297012.5362</v>
          </cell>
        </row>
        <row r="23">
          <cell r="A23">
            <v>77242</v>
          </cell>
          <cell r="D23" t="str">
            <v>PAGARE NR</v>
          </cell>
          <cell r="I23" t="str">
            <v>ESTADO</v>
          </cell>
          <cell r="L23">
            <v>500000000</v>
          </cell>
          <cell r="N23" t="str">
            <v>16-01-2018</v>
          </cell>
          <cell r="Q23">
            <v>85</v>
          </cell>
          <cell r="S23">
            <v>0.23</v>
          </cell>
          <cell r="X23">
            <v>0</v>
          </cell>
          <cell r="AC23">
            <v>787360.1026000001</v>
          </cell>
        </row>
        <row r="25">
          <cell r="A25">
            <v>76963</v>
          </cell>
          <cell r="D25" t="str">
            <v>PAGARE NR</v>
          </cell>
          <cell r="I25" t="str">
            <v>ESTADO</v>
          </cell>
          <cell r="L25">
            <v>1500000000</v>
          </cell>
          <cell r="N25" t="str">
            <v>02-01-2018</v>
          </cell>
          <cell r="Q25">
            <v>71</v>
          </cell>
          <cell r="S25">
            <v>0.22</v>
          </cell>
          <cell r="X25">
            <v>0</v>
          </cell>
          <cell r="AC25">
            <v>2365150.9975999999</v>
          </cell>
        </row>
        <row r="27">
          <cell r="A27">
            <v>76684</v>
          </cell>
          <cell r="D27" t="str">
            <v>PAGARE NR</v>
          </cell>
          <cell r="I27" t="str">
            <v>ITAUCORP</v>
          </cell>
          <cell r="L27">
            <v>500000000</v>
          </cell>
          <cell r="N27" t="str">
            <v>16-11-2017</v>
          </cell>
          <cell r="Q27">
            <v>24</v>
          </cell>
          <cell r="S27">
            <v>0.22</v>
          </cell>
          <cell r="X27">
            <v>0</v>
          </cell>
          <cell r="AC27">
            <v>791096.38650000002</v>
          </cell>
        </row>
        <row r="29">
          <cell r="A29">
            <v>77536</v>
          </cell>
          <cell r="D29" t="str">
            <v>PAGARE NR</v>
          </cell>
          <cell r="I29" t="str">
            <v>SANTANDER</v>
          </cell>
          <cell r="L29">
            <v>1000000000</v>
          </cell>
          <cell r="N29" t="str">
            <v>20-11-2017</v>
          </cell>
          <cell r="Q29">
            <v>28</v>
          </cell>
          <cell r="S29">
            <v>0.21</v>
          </cell>
          <cell r="X29">
            <v>0</v>
          </cell>
          <cell r="AC29">
            <v>1581871.6658000001</v>
          </cell>
        </row>
        <row r="31">
          <cell r="A31">
            <v>77416</v>
          </cell>
          <cell r="D31" t="str">
            <v>PAGARE NR</v>
          </cell>
          <cell r="I31" t="str">
            <v>SANTANDER</v>
          </cell>
          <cell r="L31">
            <v>800000000</v>
          </cell>
          <cell r="N31" t="str">
            <v>03-11-2017</v>
          </cell>
          <cell r="Q31">
            <v>11</v>
          </cell>
          <cell r="S31">
            <v>0.21</v>
          </cell>
          <cell r="X31">
            <v>0</v>
          </cell>
          <cell r="AC31">
            <v>1267002.2219</v>
          </cell>
        </row>
        <row r="33">
          <cell r="A33">
            <v>76760</v>
          </cell>
          <cell r="D33" t="str">
            <v>PAGARE NR</v>
          </cell>
          <cell r="I33" t="str">
            <v>SCOTIABANK</v>
          </cell>
          <cell r="L33">
            <v>1600000000</v>
          </cell>
          <cell r="N33" t="str">
            <v>02-11-2017</v>
          </cell>
          <cell r="Q33">
            <v>10</v>
          </cell>
          <cell r="S33">
            <v>0.23</v>
          </cell>
          <cell r="X33">
            <v>0</v>
          </cell>
          <cell r="AC33">
            <v>2534029.7652000003</v>
          </cell>
        </row>
        <row r="35">
          <cell r="A35">
            <v>76787</v>
          </cell>
          <cell r="D35" t="str">
            <v>PAGARE NR</v>
          </cell>
          <cell r="I35" t="str">
            <v>SCOTIABANK</v>
          </cell>
          <cell r="L35">
            <v>2000000000</v>
          </cell>
          <cell r="N35" t="str">
            <v>07-11-2017</v>
          </cell>
          <cell r="Q35">
            <v>15</v>
          </cell>
          <cell r="S35">
            <v>0.23</v>
          </cell>
          <cell r="X35">
            <v>0</v>
          </cell>
          <cell r="AC35">
            <v>3166324.2864000001</v>
          </cell>
        </row>
        <row r="37">
          <cell r="A37">
            <v>77547</v>
          </cell>
          <cell r="D37" t="str">
            <v>PAGARE NR</v>
          </cell>
          <cell r="I37" t="str">
            <v>SECURITY</v>
          </cell>
          <cell r="L37">
            <v>1500000000</v>
          </cell>
          <cell r="N37" t="str">
            <v>31-10-2017</v>
          </cell>
          <cell r="Q37">
            <v>8</v>
          </cell>
          <cell r="S37">
            <v>0.19</v>
          </cell>
          <cell r="X37">
            <v>0</v>
          </cell>
          <cell r="AC37">
            <v>2376238.6405000002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A15">
            <v>77535</v>
          </cell>
          <cell r="D15" t="str">
            <v>PAGARE NR</v>
          </cell>
          <cell r="I15" t="str">
            <v>BBVA</v>
          </cell>
          <cell r="L15">
            <v>800000000</v>
          </cell>
          <cell r="N15" t="str">
            <v>02-01-2018</v>
          </cell>
          <cell r="Q15">
            <v>48</v>
          </cell>
          <cell r="S15">
            <v>0.22</v>
          </cell>
          <cell r="X15">
            <v>0</v>
          </cell>
          <cell r="AC15">
            <v>1261674.5338999999</v>
          </cell>
        </row>
        <row r="17">
          <cell r="A17">
            <v>77465</v>
          </cell>
          <cell r="D17" t="str">
            <v>PAGARE NR</v>
          </cell>
          <cell r="I17" t="str">
            <v>BCI</v>
          </cell>
          <cell r="L17">
            <v>1000000000</v>
          </cell>
          <cell r="N17" t="str">
            <v>16-11-2017</v>
          </cell>
          <cell r="Q17">
            <v>1</v>
          </cell>
          <cell r="S17">
            <v>0.22</v>
          </cell>
          <cell r="X17">
            <v>0</v>
          </cell>
          <cell r="AC17">
            <v>1582528.8811000001</v>
          </cell>
        </row>
        <row r="19">
          <cell r="A19">
            <v>77940</v>
          </cell>
          <cell r="D19" t="str">
            <v>PAGARE NR</v>
          </cell>
          <cell r="I19" t="str">
            <v>BCI</v>
          </cell>
          <cell r="L19">
            <v>1206000000</v>
          </cell>
          <cell r="N19" t="str">
            <v>15-12-2017</v>
          </cell>
          <cell r="Q19">
            <v>30</v>
          </cell>
          <cell r="S19">
            <v>0.22</v>
          </cell>
          <cell r="X19">
            <v>0</v>
          </cell>
          <cell r="AC19">
            <v>1904479.6376</v>
          </cell>
        </row>
        <row r="21">
          <cell r="A21">
            <v>77941</v>
          </cell>
          <cell r="D21" t="str">
            <v>PAGARE NR</v>
          </cell>
          <cell r="I21" t="str">
            <v>BICE</v>
          </cell>
          <cell r="L21">
            <v>2500000000</v>
          </cell>
          <cell r="N21" t="str">
            <v>01-12-2017</v>
          </cell>
          <cell r="Q21">
            <v>16</v>
          </cell>
          <cell r="S21">
            <v>0.21</v>
          </cell>
          <cell r="X21">
            <v>0</v>
          </cell>
          <cell r="AC21">
            <v>3952172.4212000002</v>
          </cell>
        </row>
        <row r="23">
          <cell r="A23">
            <v>76963</v>
          </cell>
          <cell r="D23" t="str">
            <v>PAGARE NR</v>
          </cell>
          <cell r="I23" t="str">
            <v>ESTADO</v>
          </cell>
          <cell r="L23">
            <v>1500000000</v>
          </cell>
          <cell r="N23" t="str">
            <v>02-01-2018</v>
          </cell>
          <cell r="Q23">
            <v>48</v>
          </cell>
          <cell r="S23">
            <v>0.22</v>
          </cell>
          <cell r="X23">
            <v>0</v>
          </cell>
          <cell r="AC23">
            <v>2365639.7499000002</v>
          </cell>
        </row>
        <row r="25">
          <cell r="A25">
            <v>77242</v>
          </cell>
          <cell r="D25" t="str">
            <v>PAGARE NR</v>
          </cell>
          <cell r="I25" t="str">
            <v>ESTADO</v>
          </cell>
          <cell r="L25">
            <v>500000000</v>
          </cell>
          <cell r="N25" t="str">
            <v>16-01-2018</v>
          </cell>
          <cell r="Q25">
            <v>62</v>
          </cell>
          <cell r="S25">
            <v>0.23</v>
          </cell>
          <cell r="X25">
            <v>0</v>
          </cell>
          <cell r="AC25">
            <v>787581.18530000001</v>
          </cell>
        </row>
        <row r="27">
          <cell r="A27">
            <v>77731</v>
          </cell>
          <cell r="D27" t="str">
            <v>PAGARE NR</v>
          </cell>
          <cell r="I27" t="str">
            <v>ESTADO</v>
          </cell>
          <cell r="L27">
            <v>1100000000</v>
          </cell>
          <cell r="N27" t="str">
            <v>02-01-2018</v>
          </cell>
          <cell r="Q27">
            <v>48</v>
          </cell>
          <cell r="S27">
            <v>0.23</v>
          </cell>
          <cell r="X27">
            <v>0</v>
          </cell>
          <cell r="AC27">
            <v>1734531.6727000002</v>
          </cell>
        </row>
        <row r="29">
          <cell r="A29">
            <v>77712</v>
          </cell>
          <cell r="D29" t="str">
            <v>PAGARE NR</v>
          </cell>
          <cell r="I29" t="str">
            <v>FALABELLA</v>
          </cell>
          <cell r="L29">
            <v>800000000</v>
          </cell>
          <cell r="N29" t="str">
            <v>08-01-2018</v>
          </cell>
          <cell r="Q29">
            <v>54</v>
          </cell>
          <cell r="S29">
            <v>0.23</v>
          </cell>
          <cell r="X29">
            <v>0</v>
          </cell>
          <cell r="AC29">
            <v>1260899.6486</v>
          </cell>
        </row>
        <row r="31">
          <cell r="A31">
            <v>77711</v>
          </cell>
          <cell r="D31" t="str">
            <v>PAGARE NR</v>
          </cell>
          <cell r="I31" t="str">
            <v>FALABELLA</v>
          </cell>
          <cell r="L31">
            <v>2000000000</v>
          </cell>
          <cell r="N31" t="str">
            <v>03-01-2018</v>
          </cell>
          <cell r="Q31">
            <v>49</v>
          </cell>
          <cell r="S31">
            <v>0.22</v>
          </cell>
          <cell r="X31">
            <v>0</v>
          </cell>
          <cell r="AC31">
            <v>3153955.8379000002</v>
          </cell>
        </row>
        <row r="33">
          <cell r="A33">
            <v>76684</v>
          </cell>
          <cell r="D33" t="str">
            <v>PAGARE NR</v>
          </cell>
          <cell r="I33" t="str">
            <v>ITAUCORP</v>
          </cell>
          <cell r="L33">
            <v>500000000</v>
          </cell>
          <cell r="N33" t="str">
            <v>16-11-2017</v>
          </cell>
          <cell r="Q33">
            <v>1</v>
          </cell>
          <cell r="S33">
            <v>0.22</v>
          </cell>
          <cell r="X33">
            <v>0</v>
          </cell>
          <cell r="AC33">
            <v>791264.44050000003</v>
          </cell>
        </row>
        <row r="35">
          <cell r="A35">
            <v>77953</v>
          </cell>
          <cell r="D35" t="str">
            <v>PAGARE NR</v>
          </cell>
          <cell r="I35" t="str">
            <v>SANTANDER</v>
          </cell>
          <cell r="L35">
            <v>550000000</v>
          </cell>
          <cell r="N35" t="str">
            <v>06-12-2017</v>
          </cell>
          <cell r="Q35">
            <v>21</v>
          </cell>
          <cell r="S35">
            <v>0.21</v>
          </cell>
          <cell r="X35">
            <v>0</v>
          </cell>
          <cell r="AC35">
            <v>869174.0401000001</v>
          </cell>
        </row>
        <row r="37">
          <cell r="A37">
            <v>77536</v>
          </cell>
          <cell r="D37" t="str">
            <v>PAGARE NR</v>
          </cell>
          <cell r="I37" t="str">
            <v>SANTANDER</v>
          </cell>
          <cell r="L37">
            <v>1000000000</v>
          </cell>
          <cell r="N37" t="str">
            <v>20-11-2017</v>
          </cell>
          <cell r="Q37">
            <v>5</v>
          </cell>
          <cell r="S37">
            <v>0.21</v>
          </cell>
          <cell r="X37">
            <v>0</v>
          </cell>
          <cell r="AC37">
            <v>1582085.8965</v>
          </cell>
        </row>
        <row r="39">
          <cell r="A39">
            <v>78002</v>
          </cell>
          <cell r="D39" t="str">
            <v>PAGARE NR</v>
          </cell>
          <cell r="I39" t="str">
            <v>SCOTIABANK</v>
          </cell>
          <cell r="L39">
            <v>1800000000</v>
          </cell>
          <cell r="N39" t="str">
            <v>06-12-2017</v>
          </cell>
          <cell r="Q39">
            <v>21</v>
          </cell>
          <cell r="S39">
            <v>0.21</v>
          </cell>
          <cell r="X39">
            <v>0</v>
          </cell>
          <cell r="AC39">
            <v>2844569.5885000001</v>
          </cell>
        </row>
        <row r="41">
          <cell r="A41">
            <v>77836</v>
          </cell>
          <cell r="D41" t="str">
            <v>PAGARE NR</v>
          </cell>
          <cell r="I41" t="str">
            <v>SCOTIABANK</v>
          </cell>
          <cell r="L41">
            <v>900000000</v>
          </cell>
          <cell r="N41" t="str">
            <v>30-11-2017</v>
          </cell>
          <cell r="Q41">
            <v>15</v>
          </cell>
          <cell r="S41">
            <v>0.22</v>
          </cell>
          <cell r="X41">
            <v>0</v>
          </cell>
          <cell r="AC41">
            <v>1422815.2365000001</v>
          </cell>
        </row>
        <row r="43">
          <cell r="A43">
            <v>77837</v>
          </cell>
          <cell r="D43" t="str">
            <v>PAGARE NR</v>
          </cell>
          <cell r="I43" t="str">
            <v>SECURITY</v>
          </cell>
          <cell r="L43">
            <v>727472672</v>
          </cell>
          <cell r="N43" t="str">
            <v>04-12-2017</v>
          </cell>
          <cell r="Q43">
            <v>19</v>
          </cell>
          <cell r="S43">
            <v>0.22</v>
          </cell>
          <cell r="X43">
            <v>0</v>
          </cell>
          <cell r="AC43">
            <v>1149728.8716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A15">
            <v>78762</v>
          </cell>
          <cell r="D15" t="str">
            <v>PAGARE NR</v>
          </cell>
          <cell r="I15" t="str">
            <v>BCI</v>
          </cell>
          <cell r="L15">
            <v>700000000</v>
          </cell>
          <cell r="N15" t="str">
            <v>29-01-2018</v>
          </cell>
          <cell r="Q15">
            <v>13</v>
          </cell>
          <cell r="S15">
            <v>0.25</v>
          </cell>
          <cell r="X15">
            <v>0</v>
          </cell>
          <cell r="AC15">
            <v>1162227.5573</v>
          </cell>
        </row>
        <row r="17">
          <cell r="A17">
            <v>78876</v>
          </cell>
          <cell r="D17" t="str">
            <v>PAGARE NR</v>
          </cell>
          <cell r="I17" t="str">
            <v>BCI</v>
          </cell>
          <cell r="L17">
            <v>908100000</v>
          </cell>
          <cell r="N17" t="str">
            <v>01-02-2018</v>
          </cell>
          <cell r="Q17">
            <v>16</v>
          </cell>
          <cell r="S17">
            <v>0.23</v>
          </cell>
          <cell r="X17">
            <v>0</v>
          </cell>
          <cell r="AC17">
            <v>1507515.3068000001</v>
          </cell>
        </row>
        <row r="19">
          <cell r="A19">
            <v>78749</v>
          </cell>
          <cell r="D19" t="str">
            <v>PAGARE NR</v>
          </cell>
          <cell r="I19" t="str">
            <v>CHILE</v>
          </cell>
          <cell r="L19">
            <v>800000000</v>
          </cell>
          <cell r="N19" t="str">
            <v>24-01-2018</v>
          </cell>
          <cell r="Q19">
            <v>8</v>
          </cell>
          <cell r="S19">
            <v>0.25</v>
          </cell>
          <cell r="X19">
            <v>0</v>
          </cell>
          <cell r="AC19">
            <v>1328813.1845</v>
          </cell>
        </row>
        <row r="21">
          <cell r="A21">
            <v>79194</v>
          </cell>
          <cell r="D21" t="str">
            <v>PAGARE NR</v>
          </cell>
          <cell r="I21" t="str">
            <v>ITAUCORP</v>
          </cell>
          <cell r="L21">
            <v>600000000</v>
          </cell>
          <cell r="N21" t="str">
            <v>07-03-2018</v>
          </cell>
          <cell r="Q21">
            <v>50</v>
          </cell>
          <cell r="S21">
            <v>0.23</v>
          </cell>
          <cell r="X21">
            <v>0</v>
          </cell>
          <cell r="AC21">
            <v>993459.15</v>
          </cell>
        </row>
        <row r="23">
          <cell r="A23">
            <v>78875</v>
          </cell>
          <cell r="D23" t="str">
            <v>PAGARE NR</v>
          </cell>
          <cell r="I23" t="str">
            <v>SANTANDER</v>
          </cell>
          <cell r="L23">
            <v>1000000000</v>
          </cell>
          <cell r="N23" t="str">
            <v>05-02-2018</v>
          </cell>
          <cell r="Q23">
            <v>20</v>
          </cell>
          <cell r="S23">
            <v>0.23</v>
          </cell>
          <cell r="X23">
            <v>0</v>
          </cell>
          <cell r="AC23">
            <v>1659567.9702000001</v>
          </cell>
        </row>
        <row r="25">
          <cell r="A25">
            <v>78755</v>
          </cell>
          <cell r="D25" t="str">
            <v>PAGARE NR</v>
          </cell>
          <cell r="I25" t="str">
            <v>SCOTIABANK</v>
          </cell>
          <cell r="L25">
            <v>1600000000</v>
          </cell>
          <cell r="N25" t="str">
            <v>05-02-2018</v>
          </cell>
          <cell r="Q25">
            <v>20</v>
          </cell>
          <cell r="S25">
            <v>0.25</v>
          </cell>
          <cell r="X25">
            <v>0</v>
          </cell>
          <cell r="AC25">
            <v>2654972.9444999998</v>
          </cell>
        </row>
        <row r="27">
          <cell r="A27">
            <v>79007</v>
          </cell>
          <cell r="D27" t="str">
            <v>PAGARE R</v>
          </cell>
          <cell r="I27" t="str">
            <v>BBVA</v>
          </cell>
          <cell r="L27">
            <v>199999.9</v>
          </cell>
          <cell r="N27" t="str">
            <v>05-02-2018</v>
          </cell>
          <cell r="Q27">
            <v>20</v>
          </cell>
          <cell r="S27">
            <v>1.5</v>
          </cell>
          <cell r="X27">
            <v>0</v>
          </cell>
          <cell r="AC27">
            <v>199841.69</v>
          </cell>
        </row>
        <row r="29">
          <cell r="A29">
            <v>79008</v>
          </cell>
          <cell r="D29" t="str">
            <v>PAGARE R</v>
          </cell>
          <cell r="I29" t="str">
            <v>BBVA</v>
          </cell>
          <cell r="L29">
            <v>1001333.42</v>
          </cell>
          <cell r="N29" t="str">
            <v>05-02-2018</v>
          </cell>
          <cell r="Q29">
            <v>20</v>
          </cell>
          <cell r="S29">
            <v>1.5</v>
          </cell>
          <cell r="X29">
            <v>0</v>
          </cell>
          <cell r="AC29">
            <v>1000541.3200000001</v>
          </cell>
        </row>
        <row r="31">
          <cell r="A31">
            <v>79047</v>
          </cell>
          <cell r="D31" t="str">
            <v>PAGARE R</v>
          </cell>
          <cell r="I31" t="str">
            <v>BBVA</v>
          </cell>
          <cell r="L31">
            <v>2002844.48</v>
          </cell>
          <cell r="N31" t="str">
            <v>06-02-2018</v>
          </cell>
          <cell r="Q31">
            <v>21</v>
          </cell>
          <cell r="S31">
            <v>1.6</v>
          </cell>
          <cell r="X31">
            <v>0</v>
          </cell>
          <cell r="AC31">
            <v>2001065.75</v>
          </cell>
        </row>
        <row r="33">
          <cell r="A33">
            <v>79218</v>
          </cell>
          <cell r="D33" t="str">
            <v>PAGARE R</v>
          </cell>
          <cell r="I33" t="str">
            <v>BBVA</v>
          </cell>
          <cell r="L33">
            <v>2002755.52</v>
          </cell>
          <cell r="N33" t="str">
            <v>08-02-2018</v>
          </cell>
          <cell r="Q33">
            <v>23</v>
          </cell>
          <cell r="S33">
            <v>1.59</v>
          </cell>
          <cell r="X33">
            <v>0</v>
          </cell>
          <cell r="AC33">
            <v>2000811.4000000001</v>
          </cell>
        </row>
        <row r="35">
          <cell r="A35">
            <v>79357</v>
          </cell>
          <cell r="D35" t="str">
            <v>PAGARE R</v>
          </cell>
          <cell r="I35" t="str">
            <v>BCI</v>
          </cell>
          <cell r="L35">
            <v>1802400</v>
          </cell>
          <cell r="N35" t="str">
            <v>14-02-2018</v>
          </cell>
          <cell r="Q35">
            <v>29</v>
          </cell>
          <cell r="S35">
            <v>1.6</v>
          </cell>
          <cell r="X35">
            <v>0</v>
          </cell>
          <cell r="AC35">
            <v>1800159.8</v>
          </cell>
        </row>
        <row r="37">
          <cell r="A37">
            <v>79219</v>
          </cell>
          <cell r="D37" t="str">
            <v>PAGARE R</v>
          </cell>
          <cell r="I37" t="str">
            <v>BICE</v>
          </cell>
          <cell r="L37">
            <v>1604146.72</v>
          </cell>
          <cell r="N37" t="str">
            <v>09-03-2018</v>
          </cell>
          <cell r="Q37">
            <v>52</v>
          </cell>
          <cell r="S37">
            <v>1.49</v>
          </cell>
          <cell r="X37">
            <v>0</v>
          </cell>
          <cell r="AC37">
            <v>1600767.77</v>
          </cell>
        </row>
        <row r="39">
          <cell r="A39">
            <v>79232</v>
          </cell>
          <cell r="D39" t="str">
            <v>PAGARE R</v>
          </cell>
          <cell r="I39" t="str">
            <v>BICE</v>
          </cell>
          <cell r="L39">
            <v>400937.68</v>
          </cell>
          <cell r="N39" t="str">
            <v>08-03-2018</v>
          </cell>
          <cell r="Q39">
            <v>51</v>
          </cell>
          <cell r="S39">
            <v>1.45</v>
          </cell>
          <cell r="X39">
            <v>0</v>
          </cell>
          <cell r="AC39">
            <v>400131.86</v>
          </cell>
        </row>
        <row r="41">
          <cell r="A41">
            <v>79233</v>
          </cell>
          <cell r="D41" t="str">
            <v>PAGARE R</v>
          </cell>
          <cell r="I41" t="str">
            <v>CCB</v>
          </cell>
          <cell r="L41">
            <v>500933.33</v>
          </cell>
          <cell r="N41" t="str">
            <v>20-02-2018</v>
          </cell>
          <cell r="Q41">
            <v>35</v>
          </cell>
          <cell r="S41">
            <v>1.6</v>
          </cell>
          <cell r="X41">
            <v>0</v>
          </cell>
          <cell r="AC41">
            <v>500177.51</v>
          </cell>
        </row>
        <row r="43">
          <cell r="A43">
            <v>78679</v>
          </cell>
          <cell r="D43" t="str">
            <v>PAGARE R</v>
          </cell>
          <cell r="I43" t="str">
            <v>CCB</v>
          </cell>
          <cell r="L43">
            <v>2005244.44</v>
          </cell>
          <cell r="N43" t="str">
            <v>22-01-2018</v>
          </cell>
          <cell r="Q43">
            <v>6</v>
          </cell>
          <cell r="S43">
            <v>2.95</v>
          </cell>
          <cell r="X43">
            <v>0</v>
          </cell>
          <cell r="AC43">
            <v>2004423.18</v>
          </cell>
        </row>
        <row r="45">
          <cell r="A45">
            <v>78868</v>
          </cell>
          <cell r="D45" t="str">
            <v>PAGARE R</v>
          </cell>
          <cell r="I45" t="str">
            <v>CCB</v>
          </cell>
          <cell r="L45">
            <v>1503733.33</v>
          </cell>
          <cell r="N45" t="str">
            <v>30-01-2018</v>
          </cell>
          <cell r="Q45">
            <v>14</v>
          </cell>
          <cell r="S45">
            <v>2.8000000000000003</v>
          </cell>
          <cell r="X45">
            <v>0</v>
          </cell>
          <cell r="AC45">
            <v>1502214.42</v>
          </cell>
        </row>
        <row r="47">
          <cell r="A47">
            <v>79048</v>
          </cell>
          <cell r="D47" t="str">
            <v>PAGARE R</v>
          </cell>
          <cell r="I47" t="str">
            <v>CCB</v>
          </cell>
          <cell r="L47">
            <v>2003022.22</v>
          </cell>
          <cell r="N47" t="str">
            <v>06-02-2018</v>
          </cell>
          <cell r="Q47">
            <v>21</v>
          </cell>
          <cell r="S47">
            <v>1.7</v>
          </cell>
          <cell r="X47">
            <v>0</v>
          </cell>
          <cell r="AC47">
            <v>2001132.26</v>
          </cell>
        </row>
        <row r="49">
          <cell r="A49">
            <v>79206</v>
          </cell>
          <cell r="D49" t="str">
            <v>PAGARE R</v>
          </cell>
          <cell r="I49" t="str">
            <v>CHILE</v>
          </cell>
          <cell r="L49">
            <v>2999999.93</v>
          </cell>
          <cell r="N49" t="str">
            <v>24-01-2018</v>
          </cell>
          <cell r="Q49">
            <v>8</v>
          </cell>
          <cell r="S49">
            <v>1.4000000000000001</v>
          </cell>
          <cell r="X49">
            <v>0</v>
          </cell>
          <cell r="AC49">
            <v>2999183.49</v>
          </cell>
        </row>
        <row r="51">
          <cell r="A51">
            <v>79010</v>
          </cell>
          <cell r="D51" t="str">
            <v>PAGARE R</v>
          </cell>
          <cell r="I51" t="str">
            <v>CONSORCIO</v>
          </cell>
          <cell r="L51">
            <v>1500000</v>
          </cell>
          <cell r="N51" t="str">
            <v>02-02-2018</v>
          </cell>
          <cell r="Q51">
            <v>17</v>
          </cell>
          <cell r="S51">
            <v>1.8</v>
          </cell>
          <cell r="X51">
            <v>0</v>
          </cell>
          <cell r="AC51">
            <v>1498800.96</v>
          </cell>
        </row>
        <row r="53">
          <cell r="A53">
            <v>79309</v>
          </cell>
          <cell r="D53" t="str">
            <v>PAGARE R</v>
          </cell>
          <cell r="I53" t="str">
            <v>CONSORCIO</v>
          </cell>
          <cell r="L53">
            <v>300000</v>
          </cell>
          <cell r="N53" t="str">
            <v>17-01-2018</v>
          </cell>
          <cell r="Q53">
            <v>1</v>
          </cell>
          <cell r="S53">
            <v>1.48</v>
          </cell>
          <cell r="X53">
            <v>0</v>
          </cell>
          <cell r="AC53">
            <v>300000</v>
          </cell>
        </row>
        <row r="55">
          <cell r="A55">
            <v>78905</v>
          </cell>
          <cell r="D55" t="str">
            <v>PAGARE R</v>
          </cell>
          <cell r="I55" t="str">
            <v>CONSORCIO</v>
          </cell>
          <cell r="L55">
            <v>1500000</v>
          </cell>
          <cell r="N55" t="str">
            <v>30-01-2018</v>
          </cell>
          <cell r="Q55">
            <v>14</v>
          </cell>
          <cell r="S55">
            <v>2</v>
          </cell>
          <cell r="X55">
            <v>0</v>
          </cell>
          <cell r="AC55">
            <v>1498917.45</v>
          </cell>
        </row>
        <row r="57">
          <cell r="A57">
            <v>79311</v>
          </cell>
          <cell r="D57" t="str">
            <v>PAGARE R</v>
          </cell>
          <cell r="I57" t="str">
            <v>ITAUCORP</v>
          </cell>
          <cell r="L57">
            <v>1000000</v>
          </cell>
          <cell r="N57" t="str">
            <v>31-01-2018</v>
          </cell>
          <cell r="Q57">
            <v>15</v>
          </cell>
          <cell r="S57">
            <v>1.5</v>
          </cell>
          <cell r="X57">
            <v>0</v>
          </cell>
          <cell r="AC57">
            <v>999417.01</v>
          </cell>
        </row>
        <row r="59">
          <cell r="A59">
            <v>79310</v>
          </cell>
          <cell r="D59" t="str">
            <v>PAGARE R</v>
          </cell>
          <cell r="I59" t="str">
            <v>ITAUCORP</v>
          </cell>
          <cell r="L59">
            <v>1000000</v>
          </cell>
          <cell r="N59" t="str">
            <v>17-01-2018</v>
          </cell>
          <cell r="Q59">
            <v>1</v>
          </cell>
          <cell r="S59">
            <v>1.4000000000000001</v>
          </cell>
          <cell r="X59">
            <v>0</v>
          </cell>
          <cell r="AC59">
            <v>1000000</v>
          </cell>
        </row>
        <row r="61">
          <cell r="A61">
            <v>79210</v>
          </cell>
          <cell r="D61" t="str">
            <v>PAGARE R</v>
          </cell>
          <cell r="I61" t="str">
            <v>SANTANDER</v>
          </cell>
          <cell r="L61">
            <v>1000000</v>
          </cell>
          <cell r="N61" t="str">
            <v>12-02-2018</v>
          </cell>
          <cell r="Q61">
            <v>27</v>
          </cell>
          <cell r="S61">
            <v>1.5</v>
          </cell>
          <cell r="X61">
            <v>0</v>
          </cell>
          <cell r="AC61">
            <v>998917.84</v>
          </cell>
        </row>
        <row r="63">
          <cell r="A63">
            <v>79338</v>
          </cell>
          <cell r="D63" t="str">
            <v>PAGARE R</v>
          </cell>
          <cell r="I63" t="str">
            <v>SANTANDER</v>
          </cell>
          <cell r="L63">
            <v>1900000</v>
          </cell>
          <cell r="N63" t="str">
            <v>16-02-2018</v>
          </cell>
          <cell r="Q63">
            <v>31</v>
          </cell>
          <cell r="S63">
            <v>1.4000000000000001</v>
          </cell>
          <cell r="X63">
            <v>0</v>
          </cell>
          <cell r="AC63">
            <v>1897785.92</v>
          </cell>
        </row>
        <row r="65">
          <cell r="A65">
            <v>79234</v>
          </cell>
          <cell r="D65" t="str">
            <v>PAGARE R</v>
          </cell>
          <cell r="I65" t="str">
            <v>SECURITY</v>
          </cell>
          <cell r="L65">
            <v>200000</v>
          </cell>
          <cell r="N65" t="str">
            <v>02-02-2018</v>
          </cell>
          <cell r="Q65">
            <v>17</v>
          </cell>
          <cell r="S65">
            <v>1.3900000000000001</v>
          </cell>
          <cell r="X65">
            <v>0</v>
          </cell>
          <cell r="AC65">
            <v>199876.52000000002</v>
          </cell>
        </row>
        <row r="67">
          <cell r="A67">
            <v>79006</v>
          </cell>
          <cell r="D67" t="str">
            <v>PAGARE R</v>
          </cell>
          <cell r="I67" t="str">
            <v>SECURITY</v>
          </cell>
          <cell r="L67">
            <v>2000000</v>
          </cell>
          <cell r="N67" t="str">
            <v>12-04-2018</v>
          </cell>
          <cell r="Q67">
            <v>86</v>
          </cell>
          <cell r="S67">
            <v>2</v>
          </cell>
          <cell r="X67">
            <v>0</v>
          </cell>
          <cell r="AC67">
            <v>1990599.94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5">
          <cell r="A15">
            <v>78762</v>
          </cell>
          <cell r="D15" t="str">
            <v>PAGARE NR</v>
          </cell>
          <cell r="I15" t="str">
            <v>BCI</v>
          </cell>
          <cell r="L15">
            <v>700000000</v>
          </cell>
          <cell r="N15" t="str">
            <v>29-01-2018</v>
          </cell>
          <cell r="Q15">
            <v>14</v>
          </cell>
          <cell r="S15">
            <v>0.25</v>
          </cell>
          <cell r="X15">
            <v>0</v>
          </cell>
          <cell r="AC15">
            <v>1162130.8098000002</v>
          </cell>
        </row>
        <row r="17">
          <cell r="A17">
            <v>78876</v>
          </cell>
          <cell r="D17" t="str">
            <v>PAGARE NR</v>
          </cell>
          <cell r="I17" t="str">
            <v>BCI</v>
          </cell>
          <cell r="L17">
            <v>908100000</v>
          </cell>
          <cell r="N17" t="str">
            <v>01-02-2018</v>
          </cell>
          <cell r="Q17">
            <v>17</v>
          </cell>
          <cell r="S17">
            <v>0.23</v>
          </cell>
          <cell r="X17">
            <v>0</v>
          </cell>
          <cell r="AC17">
            <v>1507399.872</v>
          </cell>
        </row>
        <row r="19">
          <cell r="A19">
            <v>78749</v>
          </cell>
          <cell r="D19" t="str">
            <v>PAGARE NR</v>
          </cell>
          <cell r="I19" t="str">
            <v>CHILE</v>
          </cell>
          <cell r="L19">
            <v>800000000</v>
          </cell>
          <cell r="N19" t="str">
            <v>24-01-2018</v>
          </cell>
          <cell r="Q19">
            <v>9</v>
          </cell>
          <cell r="S19">
            <v>0.25</v>
          </cell>
          <cell r="X19">
            <v>0</v>
          </cell>
          <cell r="AC19">
            <v>1328702.5245000001</v>
          </cell>
        </row>
        <row r="21">
          <cell r="A21">
            <v>77242</v>
          </cell>
          <cell r="D21" t="str">
            <v>PAGARE NR</v>
          </cell>
          <cell r="I21" t="str">
            <v>ESTADO</v>
          </cell>
          <cell r="L21">
            <v>500000000</v>
          </cell>
          <cell r="N21" t="str">
            <v>16-01-2018</v>
          </cell>
          <cell r="Q21">
            <v>1</v>
          </cell>
          <cell r="S21">
            <v>0.23</v>
          </cell>
          <cell r="X21">
            <v>0</v>
          </cell>
          <cell r="AC21">
            <v>830992.70380000002</v>
          </cell>
        </row>
        <row r="23">
          <cell r="A23">
            <v>79194</v>
          </cell>
          <cell r="D23" t="str">
            <v>PAGARE NR</v>
          </cell>
          <cell r="I23" t="str">
            <v>ITAUCORP</v>
          </cell>
          <cell r="L23">
            <v>600000000</v>
          </cell>
          <cell r="N23" t="str">
            <v>07-03-2018</v>
          </cell>
          <cell r="Q23">
            <v>51</v>
          </cell>
          <cell r="S23">
            <v>0.23</v>
          </cell>
          <cell r="X23">
            <v>0</v>
          </cell>
          <cell r="AC23">
            <v>993383.27540000004</v>
          </cell>
        </row>
        <row r="25">
          <cell r="A25">
            <v>78875</v>
          </cell>
          <cell r="D25" t="str">
            <v>PAGARE NR</v>
          </cell>
          <cell r="I25" t="str">
            <v>SANTANDER</v>
          </cell>
          <cell r="L25">
            <v>1000000000</v>
          </cell>
          <cell r="N25" t="str">
            <v>05-02-2018</v>
          </cell>
          <cell r="Q25">
            <v>21</v>
          </cell>
          <cell r="S25">
            <v>0.23</v>
          </cell>
          <cell r="X25">
            <v>0</v>
          </cell>
          <cell r="AC25">
            <v>1659440.9313000001</v>
          </cell>
        </row>
        <row r="27">
          <cell r="A27">
            <v>78755</v>
          </cell>
          <cell r="D27" t="str">
            <v>PAGARE NR</v>
          </cell>
          <cell r="I27" t="str">
            <v>SCOTIABANK</v>
          </cell>
          <cell r="L27">
            <v>1600000000</v>
          </cell>
          <cell r="N27" t="str">
            <v>05-02-2018</v>
          </cell>
          <cell r="Q27">
            <v>21</v>
          </cell>
          <cell r="S27">
            <v>0.25</v>
          </cell>
          <cell r="X27">
            <v>0</v>
          </cell>
          <cell r="AC27">
            <v>2654752.0649999999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5">
          <cell r="A15">
            <v>78762</v>
          </cell>
          <cell r="D15" t="str">
            <v>PAGARE NR</v>
          </cell>
          <cell r="I15" t="str">
            <v>BCI</v>
          </cell>
          <cell r="L15">
            <v>700000000</v>
          </cell>
          <cell r="N15" t="str">
            <v>29-01-2018</v>
          </cell>
          <cell r="Q15">
            <v>6</v>
          </cell>
          <cell r="S15">
            <v>0.25</v>
          </cell>
          <cell r="X15">
            <v>0</v>
          </cell>
          <cell r="AC15">
            <v>1150552.4212</v>
          </cell>
        </row>
        <row r="17">
          <cell r="A17">
            <v>79449</v>
          </cell>
          <cell r="D17" t="str">
            <v>PAGARE NR</v>
          </cell>
          <cell r="I17" t="str">
            <v>BCI</v>
          </cell>
          <cell r="L17">
            <v>900000000</v>
          </cell>
          <cell r="N17" t="str">
            <v>01-03-2018</v>
          </cell>
          <cell r="Q17">
            <v>37</v>
          </cell>
          <cell r="S17">
            <v>0.23</v>
          </cell>
          <cell r="X17">
            <v>0</v>
          </cell>
          <cell r="AC17">
            <v>1475824.7751</v>
          </cell>
        </row>
        <row r="19">
          <cell r="A19">
            <v>78876</v>
          </cell>
          <cell r="D19" t="str">
            <v>PAGARE NR</v>
          </cell>
          <cell r="I19" t="str">
            <v>BCI</v>
          </cell>
          <cell r="L19">
            <v>908100000</v>
          </cell>
          <cell r="N19" t="str">
            <v>01-02-2018</v>
          </cell>
          <cell r="Q19">
            <v>9</v>
          </cell>
          <cell r="S19">
            <v>0.23</v>
          </cell>
          <cell r="X19">
            <v>0</v>
          </cell>
          <cell r="AC19">
            <v>1492301.8547999999</v>
          </cell>
        </row>
        <row r="21">
          <cell r="A21">
            <v>78749</v>
          </cell>
          <cell r="D21" t="str">
            <v>PAGARE NR</v>
          </cell>
          <cell r="I21" t="str">
            <v>CHILE</v>
          </cell>
          <cell r="L21">
            <v>800000000</v>
          </cell>
          <cell r="N21" t="str">
            <v>24-01-2018</v>
          </cell>
          <cell r="Q21">
            <v>1</v>
          </cell>
          <cell r="S21">
            <v>0.25</v>
          </cell>
          <cell r="X21">
            <v>0</v>
          </cell>
          <cell r="AC21">
            <v>1315464.9346</v>
          </cell>
        </row>
        <row r="23">
          <cell r="A23">
            <v>79194</v>
          </cell>
          <cell r="D23" t="str">
            <v>PAGARE NR</v>
          </cell>
          <cell r="I23" t="str">
            <v>ITAUCORP</v>
          </cell>
          <cell r="L23">
            <v>600000000</v>
          </cell>
          <cell r="N23" t="str">
            <v>07-03-2018</v>
          </cell>
          <cell r="Q23">
            <v>43</v>
          </cell>
          <cell r="S23">
            <v>0.23</v>
          </cell>
          <cell r="X23">
            <v>0</v>
          </cell>
          <cell r="AC23">
            <v>983432.04959999991</v>
          </cell>
        </row>
        <row r="25">
          <cell r="A25">
            <v>78875</v>
          </cell>
          <cell r="D25" t="str">
            <v>PAGARE NR</v>
          </cell>
          <cell r="I25" t="str">
            <v>SANTANDER</v>
          </cell>
          <cell r="L25">
            <v>1000000000</v>
          </cell>
          <cell r="N25" t="str">
            <v>05-02-2018</v>
          </cell>
          <cell r="Q25">
            <v>13</v>
          </cell>
          <cell r="S25">
            <v>0.23</v>
          </cell>
          <cell r="X25">
            <v>0</v>
          </cell>
          <cell r="AC25">
            <v>1642819.7747</v>
          </cell>
        </row>
        <row r="27">
          <cell r="A27">
            <v>78755</v>
          </cell>
          <cell r="D27" t="str">
            <v>PAGARE NR</v>
          </cell>
          <cell r="I27" t="str">
            <v>SCOTIABANK</v>
          </cell>
          <cell r="L27">
            <v>1600000000</v>
          </cell>
          <cell r="N27" t="str">
            <v>05-02-2018</v>
          </cell>
          <cell r="Q27">
            <v>13</v>
          </cell>
          <cell r="S27">
            <v>0.25</v>
          </cell>
          <cell r="X27">
            <v>0</v>
          </cell>
          <cell r="AC27">
            <v>2628301.5669999998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A15">
            <v>80806</v>
          </cell>
          <cell r="D15" t="str">
            <v>PAGARE NR</v>
          </cell>
          <cell r="I15" t="str">
            <v>BCI</v>
          </cell>
          <cell r="L15">
            <v>600000000</v>
          </cell>
          <cell r="N15" t="str">
            <v>08-06-2018</v>
          </cell>
          <cell r="Q15">
            <v>23</v>
          </cell>
          <cell r="S15">
            <v>0.22</v>
          </cell>
          <cell r="X15">
            <v>0</v>
          </cell>
          <cell r="AC15">
            <v>949505.55400000012</v>
          </cell>
        </row>
        <row r="17">
          <cell r="A17">
            <v>80994</v>
          </cell>
          <cell r="D17" t="str">
            <v>PAGARE NR</v>
          </cell>
          <cell r="I17" t="str">
            <v>BCI</v>
          </cell>
          <cell r="L17">
            <v>900000000</v>
          </cell>
          <cell r="N17" t="str">
            <v>04-06-2018</v>
          </cell>
          <cell r="Q17">
            <v>19</v>
          </cell>
          <cell r="S17">
            <v>0.21</v>
          </cell>
          <cell r="X17">
            <v>0</v>
          </cell>
          <cell r="AC17">
            <v>1424760.9361000003</v>
          </cell>
        </row>
        <row r="19">
          <cell r="A19">
            <v>80477</v>
          </cell>
          <cell r="D19" t="str">
            <v>PAGARE NR</v>
          </cell>
          <cell r="I19" t="str">
            <v>CORPBANCA</v>
          </cell>
          <cell r="L19">
            <v>1600000000</v>
          </cell>
          <cell r="N19" t="str">
            <v>13-06-2018</v>
          </cell>
          <cell r="Q19">
            <v>28</v>
          </cell>
          <cell r="S19">
            <v>0.23</v>
          </cell>
          <cell r="X19">
            <v>0</v>
          </cell>
          <cell r="AC19">
            <v>2530860.9139</v>
          </cell>
        </row>
        <row r="21">
          <cell r="A21">
            <v>80982</v>
          </cell>
          <cell r="D21" t="str">
            <v>PAGARE NR</v>
          </cell>
          <cell r="I21" t="str">
            <v>ESTADO</v>
          </cell>
          <cell r="L21">
            <v>900000000</v>
          </cell>
          <cell r="N21" t="str">
            <v>31-05-2018</v>
          </cell>
          <cell r="Q21">
            <v>15</v>
          </cell>
          <cell r="S21">
            <v>0.21</v>
          </cell>
          <cell r="X21">
            <v>0</v>
          </cell>
          <cell r="AC21">
            <v>1425159.4794000001</v>
          </cell>
        </row>
        <row r="23">
          <cell r="A23">
            <v>80946</v>
          </cell>
          <cell r="D23" t="str">
            <v>PAGARE NR</v>
          </cell>
          <cell r="I23" t="str">
            <v>SANTANDER</v>
          </cell>
          <cell r="L23">
            <v>1000000000</v>
          </cell>
          <cell r="N23" t="str">
            <v>01-06-2018</v>
          </cell>
          <cell r="Q23">
            <v>16</v>
          </cell>
          <cell r="S23">
            <v>0.2</v>
          </cell>
          <cell r="X23">
            <v>0</v>
          </cell>
          <cell r="AC23">
            <v>1583478.8933000001</v>
          </cell>
        </row>
        <row r="25">
          <cell r="A25">
            <v>80851</v>
          </cell>
          <cell r="D25" t="str">
            <v>PAGARE NR</v>
          </cell>
          <cell r="I25" t="str">
            <v>SANTANDER</v>
          </cell>
          <cell r="L25">
            <v>1100000000</v>
          </cell>
          <cell r="N25" t="str">
            <v>01-06-2018</v>
          </cell>
          <cell r="Q25">
            <v>16</v>
          </cell>
          <cell r="S25">
            <v>0.21</v>
          </cell>
          <cell r="X25">
            <v>0</v>
          </cell>
          <cell r="AC25">
            <v>1741739.7818</v>
          </cell>
        </row>
        <row r="27">
          <cell r="A27">
            <v>80585</v>
          </cell>
          <cell r="D27" t="str">
            <v>PAGARE NR</v>
          </cell>
          <cell r="I27" t="str">
            <v>SCOTIABANK</v>
          </cell>
          <cell r="L27">
            <v>450000000</v>
          </cell>
          <cell r="N27" t="str">
            <v>11-06-2018</v>
          </cell>
          <cell r="Q27">
            <v>26</v>
          </cell>
          <cell r="S27">
            <v>0.22</v>
          </cell>
          <cell r="X27">
            <v>0</v>
          </cell>
          <cell r="AC27">
            <v>711972.7844</v>
          </cell>
        </row>
        <row r="29">
          <cell r="A29">
            <v>80718</v>
          </cell>
          <cell r="D29" t="str">
            <v>PAGARE NR</v>
          </cell>
          <cell r="I29" t="str">
            <v>SCOTIABANK</v>
          </cell>
          <cell r="L29">
            <v>1650000000</v>
          </cell>
          <cell r="N29" t="str">
            <v>24-05-2018</v>
          </cell>
          <cell r="Q29">
            <v>8</v>
          </cell>
          <cell r="S29">
            <v>0.2</v>
          </cell>
          <cell r="X29">
            <v>0</v>
          </cell>
          <cell r="AC29">
            <v>2614132.9851000002</v>
          </cell>
        </row>
        <row r="31">
          <cell r="A31">
            <v>80837</v>
          </cell>
          <cell r="D31" t="str">
            <v>PAGARE NR</v>
          </cell>
          <cell r="I31" t="str">
            <v>SCOTIABANK</v>
          </cell>
          <cell r="L31">
            <v>1775330355</v>
          </cell>
          <cell r="N31" t="str">
            <v>05-06-2018</v>
          </cell>
          <cell r="Q31">
            <v>20</v>
          </cell>
          <cell r="S31">
            <v>0.21</v>
          </cell>
          <cell r="X31">
            <v>0</v>
          </cell>
          <cell r="AC31">
            <v>2810271.6827999996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A15">
            <v>77535</v>
          </cell>
          <cell r="D15" t="str">
            <v>PAGARE NR</v>
          </cell>
          <cell r="I15" t="str">
            <v>BBVA</v>
          </cell>
          <cell r="L15">
            <v>800000000</v>
          </cell>
          <cell r="N15" t="str">
            <v>02-01-2018</v>
          </cell>
          <cell r="Q15">
            <v>73</v>
          </cell>
          <cell r="S15">
            <v>0.22</v>
          </cell>
          <cell r="X15">
            <v>0</v>
          </cell>
          <cell r="AC15">
            <v>1265823.9262999999</v>
          </cell>
        </row>
        <row r="17">
          <cell r="A17">
            <v>77507</v>
          </cell>
          <cell r="D17" t="str">
            <v>PAGARE NR</v>
          </cell>
          <cell r="I17" t="str">
            <v>BBVA</v>
          </cell>
          <cell r="L17">
            <v>600000000</v>
          </cell>
          <cell r="N17" t="str">
            <v>02-11-2017</v>
          </cell>
          <cell r="Q17">
            <v>12</v>
          </cell>
          <cell r="S17">
            <v>0.2</v>
          </cell>
          <cell r="X17">
            <v>0</v>
          </cell>
          <cell r="AC17">
            <v>953681.24</v>
          </cell>
        </row>
        <row r="19">
          <cell r="A19">
            <v>77465</v>
          </cell>
          <cell r="D19" t="str">
            <v>PAGARE NR</v>
          </cell>
          <cell r="I19" t="str">
            <v>BCI</v>
          </cell>
          <cell r="L19">
            <v>1000000000</v>
          </cell>
          <cell r="N19" t="str">
            <v>16-11-2017</v>
          </cell>
          <cell r="Q19">
            <v>26</v>
          </cell>
          <cell r="S19">
            <v>0.22</v>
          </cell>
          <cell r="X19">
            <v>0</v>
          </cell>
          <cell r="AC19">
            <v>1587723.5190999999</v>
          </cell>
        </row>
        <row r="21">
          <cell r="A21">
            <v>76450</v>
          </cell>
          <cell r="D21" t="str">
            <v>PAGARE NR</v>
          </cell>
          <cell r="I21" t="str">
            <v>CHILE</v>
          </cell>
          <cell r="L21">
            <v>2711286000</v>
          </cell>
          <cell r="N21" t="str">
            <v>24-10-2017</v>
          </cell>
          <cell r="Q21">
            <v>3</v>
          </cell>
          <cell r="S21">
            <v>0.22</v>
          </cell>
          <cell r="X21">
            <v>0</v>
          </cell>
          <cell r="AC21">
            <v>4312032.1992000006</v>
          </cell>
        </row>
        <row r="23">
          <cell r="A23">
            <v>77242</v>
          </cell>
          <cell r="D23" t="str">
            <v>PAGARE NR</v>
          </cell>
          <cell r="I23" t="str">
            <v>ESTADO</v>
          </cell>
          <cell r="L23">
            <v>500000000</v>
          </cell>
          <cell r="N23" t="str">
            <v>16-01-2018</v>
          </cell>
          <cell r="Q23">
            <v>87</v>
          </cell>
          <cell r="S23">
            <v>0.23</v>
          </cell>
          <cell r="X23">
            <v>0</v>
          </cell>
          <cell r="AC23">
            <v>790107.72879999992</v>
          </cell>
        </row>
        <row r="25">
          <cell r="A25">
            <v>76963</v>
          </cell>
          <cell r="D25" t="str">
            <v>PAGARE NR</v>
          </cell>
          <cell r="I25" t="str">
            <v>ESTADO</v>
          </cell>
          <cell r="L25">
            <v>1500000000</v>
          </cell>
          <cell r="N25" t="str">
            <v>02-01-2018</v>
          </cell>
          <cell r="Q25">
            <v>73</v>
          </cell>
          <cell r="S25">
            <v>0.22</v>
          </cell>
          <cell r="X25">
            <v>0</v>
          </cell>
          <cell r="AC25">
            <v>2373419.8606000002</v>
          </cell>
        </row>
        <row r="27">
          <cell r="A27">
            <v>76684</v>
          </cell>
          <cell r="D27" t="str">
            <v>PAGARE NR</v>
          </cell>
          <cell r="I27" t="str">
            <v>ITAUCORP</v>
          </cell>
          <cell r="L27">
            <v>500000000</v>
          </cell>
          <cell r="N27" t="str">
            <v>16-11-2017</v>
          </cell>
          <cell r="Q27">
            <v>26</v>
          </cell>
          <cell r="S27">
            <v>0.22</v>
          </cell>
          <cell r="X27">
            <v>0</v>
          </cell>
          <cell r="AC27">
            <v>793861.75950000004</v>
          </cell>
        </row>
        <row r="29">
          <cell r="A29">
            <v>77536</v>
          </cell>
          <cell r="D29" t="str">
            <v>PAGARE NR</v>
          </cell>
          <cell r="I29" t="str">
            <v>SANTANDER</v>
          </cell>
          <cell r="L29">
            <v>1000000000</v>
          </cell>
          <cell r="N29" t="str">
            <v>20-11-2017</v>
          </cell>
          <cell r="Q29">
            <v>30</v>
          </cell>
          <cell r="S29">
            <v>0.21</v>
          </cell>
          <cell r="X29">
            <v>0</v>
          </cell>
          <cell r="AC29">
            <v>1587411.8994999998</v>
          </cell>
        </row>
        <row r="31">
          <cell r="A31">
            <v>77416</v>
          </cell>
          <cell r="D31" t="str">
            <v>PAGARE NR</v>
          </cell>
          <cell r="I31" t="str">
            <v>SANTANDER</v>
          </cell>
          <cell r="L31">
            <v>800000000</v>
          </cell>
          <cell r="N31" t="str">
            <v>03-11-2017</v>
          </cell>
          <cell r="Q31">
            <v>13</v>
          </cell>
          <cell r="S31">
            <v>0.21</v>
          </cell>
          <cell r="X31">
            <v>0</v>
          </cell>
          <cell r="AC31">
            <v>1271439.4668000001</v>
          </cell>
        </row>
        <row r="33">
          <cell r="A33">
            <v>76760</v>
          </cell>
          <cell r="D33" t="str">
            <v>PAGARE NR</v>
          </cell>
          <cell r="I33" t="str">
            <v>SCOTIABANK</v>
          </cell>
          <cell r="L33">
            <v>1600000000</v>
          </cell>
          <cell r="N33" t="str">
            <v>02-11-2017</v>
          </cell>
          <cell r="Q33">
            <v>12</v>
          </cell>
          <cell r="S33">
            <v>0.23</v>
          </cell>
          <cell r="X33">
            <v>0</v>
          </cell>
          <cell r="AC33">
            <v>2542870.4651000001</v>
          </cell>
        </row>
        <row r="35">
          <cell r="A35">
            <v>76787</v>
          </cell>
          <cell r="D35" t="str">
            <v>PAGARE NR</v>
          </cell>
          <cell r="I35" t="str">
            <v>SCOTIABANK</v>
          </cell>
          <cell r="L35">
            <v>2000000000</v>
          </cell>
          <cell r="N35" t="str">
            <v>07-11-2017</v>
          </cell>
          <cell r="Q35">
            <v>17</v>
          </cell>
          <cell r="S35">
            <v>0.23</v>
          </cell>
          <cell r="X35">
            <v>0</v>
          </cell>
          <cell r="AC35">
            <v>3177371.1140000001</v>
          </cell>
        </row>
        <row r="37">
          <cell r="A37">
            <v>77547</v>
          </cell>
          <cell r="D37" t="str">
            <v>PAGARE NR</v>
          </cell>
          <cell r="I37" t="str">
            <v>SECURITY</v>
          </cell>
          <cell r="L37">
            <v>1500000000</v>
          </cell>
          <cell r="N37" t="str">
            <v>31-10-2017</v>
          </cell>
          <cell r="Q37">
            <v>10</v>
          </cell>
          <cell r="S37">
            <v>0.19</v>
          </cell>
          <cell r="X37">
            <v>0</v>
          </cell>
          <cell r="AC37">
            <v>2384592.2996999999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3" tint="0.59999389629810485"/>
  </sheetPr>
  <dimension ref="A1:R22"/>
  <sheetViews>
    <sheetView topLeftCell="D1" workbookViewId="0">
      <selection activeCell="K24" sqref="K24"/>
    </sheetView>
  </sheetViews>
  <sheetFormatPr baseColWidth="10" defaultRowHeight="15" x14ac:dyDescent="0.25"/>
  <cols>
    <col min="1" max="1" width="11.42578125" style="36"/>
    <col min="2" max="2" width="13.5703125" bestFit="1" customWidth="1"/>
    <col min="3" max="3" width="10.28515625" bestFit="1" customWidth="1"/>
    <col min="10" max="10" width="12" bestFit="1" customWidth="1"/>
    <col min="11" max="11" width="17.42578125" style="4" bestFit="1" customWidth="1"/>
    <col min="12" max="12" width="13.7109375" style="4" bestFit="1" customWidth="1"/>
    <col min="13" max="13" width="12.28515625" hidden="1" customWidth="1"/>
    <col min="14" max="14" width="16.42578125" bestFit="1" customWidth="1"/>
    <col min="15" max="15" width="16.42578125" style="36" customWidth="1"/>
    <col min="16" max="16" width="15.140625" bestFit="1" customWidth="1"/>
  </cols>
  <sheetData>
    <row r="1" spans="1:18" s="44" customFormat="1" ht="12" x14ac:dyDescent="0.2">
      <c r="C1" s="45">
        <f ca="1">TODAY()-1</f>
        <v>43237</v>
      </c>
      <c r="D1" s="46" t="s">
        <v>87</v>
      </c>
      <c r="E1" s="47"/>
      <c r="K1" s="48"/>
      <c r="L1" s="48"/>
    </row>
    <row r="2" spans="1:18" s="44" customFormat="1" ht="12" x14ac:dyDescent="0.2">
      <c r="C2" s="45">
        <f ca="1">TODAY()</f>
        <v>43238</v>
      </c>
      <c r="D2" s="46" t="s">
        <v>86</v>
      </c>
      <c r="E2" s="47"/>
      <c r="K2" s="48"/>
      <c r="L2" s="48"/>
    </row>
    <row r="3" spans="1:18" s="44" customFormat="1" ht="12" x14ac:dyDescent="0.2">
      <c r="C3" s="45">
        <f ca="1">TODAY()+1</f>
        <v>43239</v>
      </c>
      <c r="D3" s="46" t="s">
        <v>88</v>
      </c>
      <c r="E3" s="47"/>
      <c r="K3" s="48"/>
      <c r="L3" s="48"/>
    </row>
    <row r="4" spans="1:18" s="36" customFormat="1" ht="9.75" customHeight="1" thickBot="1" x14ac:dyDescent="0.3">
      <c r="K4" s="4"/>
      <c r="L4" s="4"/>
    </row>
    <row r="5" spans="1:18" ht="36" x14ac:dyDescent="0.25">
      <c r="C5" s="49" t="s">
        <v>0</v>
      </c>
      <c r="D5" s="49" t="s">
        <v>1</v>
      </c>
      <c r="E5" s="49" t="s">
        <v>2</v>
      </c>
      <c r="F5" s="49" t="s">
        <v>3</v>
      </c>
      <c r="G5" s="49" t="s">
        <v>4</v>
      </c>
      <c r="H5" s="49" t="s">
        <v>5</v>
      </c>
      <c r="I5" s="49" t="s">
        <v>6</v>
      </c>
      <c r="J5" s="49" t="s">
        <v>7</v>
      </c>
      <c r="K5" s="50" t="s">
        <v>8</v>
      </c>
      <c r="L5" s="50" t="s">
        <v>9</v>
      </c>
      <c r="M5" s="52" t="s">
        <v>10</v>
      </c>
      <c r="N5" s="50" t="s">
        <v>347</v>
      </c>
      <c r="O5" s="50" t="s">
        <v>380</v>
      </c>
      <c r="P5" s="3"/>
    </row>
    <row r="6" spans="1:18" hidden="1" x14ac:dyDescent="0.25">
      <c r="B6" s="5" t="s">
        <v>37</v>
      </c>
      <c r="C6" s="53">
        <v>42600</v>
      </c>
      <c r="D6" s="54" t="s">
        <v>50</v>
      </c>
      <c r="E6" s="55">
        <v>42488</v>
      </c>
      <c r="F6" s="56">
        <f>+G6-E6</f>
        <v>112</v>
      </c>
      <c r="G6" s="57">
        <v>42600</v>
      </c>
      <c r="H6" s="55" t="s">
        <v>13</v>
      </c>
      <c r="I6" s="55" t="s">
        <v>14</v>
      </c>
      <c r="J6" s="58">
        <f>5000*0</f>
        <v>0</v>
      </c>
      <c r="K6" s="59">
        <f>25891+259</f>
        <v>26150</v>
      </c>
      <c r="L6" s="59"/>
      <c r="M6" s="60">
        <f>IF(I6="C",(L6-K6)*J6,IF(I6="V",(K6-L6)*J6,))</f>
        <v>0</v>
      </c>
      <c r="N6" s="38"/>
      <c r="O6" s="38"/>
      <c r="P6" s="3">
        <f>+J6*K6/1000</f>
        <v>0</v>
      </c>
      <c r="Q6" s="3">
        <f>+J6*L6/1000</f>
        <v>0</v>
      </c>
    </row>
    <row r="7" spans="1:18" hidden="1" x14ac:dyDescent="0.25">
      <c r="B7" s="5" t="s">
        <v>74</v>
      </c>
      <c r="C7" s="53">
        <v>42607</v>
      </c>
      <c r="D7" s="54" t="s">
        <v>11</v>
      </c>
      <c r="E7" s="55">
        <v>42542</v>
      </c>
      <c r="F7" s="56">
        <f>+G7-E7</f>
        <v>65</v>
      </c>
      <c r="G7" s="57">
        <v>42607</v>
      </c>
      <c r="H7" s="55" t="s">
        <v>13</v>
      </c>
      <c r="I7" s="55" t="s">
        <v>14</v>
      </c>
      <c r="J7" s="58">
        <f>5000*0</f>
        <v>0</v>
      </c>
      <c r="K7" s="59">
        <f>26021+153</f>
        <v>26174</v>
      </c>
      <c r="L7" s="59" t="e">
        <f>VLOOKUP(B7,'Inf. RA_$$'!#REF!,4,0)</f>
        <v>#REF!</v>
      </c>
      <c r="M7" s="60"/>
      <c r="N7" s="38"/>
      <c r="O7" s="38"/>
      <c r="P7" s="3">
        <f>+J7*K7/1000</f>
        <v>0</v>
      </c>
      <c r="Q7" s="3" t="e">
        <f>+J7*L7/1000</f>
        <v>#REF!</v>
      </c>
    </row>
    <row r="8" spans="1:18" s="36" customFormat="1" hidden="1" x14ac:dyDescent="0.25">
      <c r="B8" s="5" t="s">
        <v>109</v>
      </c>
      <c r="C8" s="53">
        <v>42591</v>
      </c>
      <c r="D8" s="54" t="s">
        <v>76</v>
      </c>
      <c r="E8" s="55">
        <v>42558</v>
      </c>
      <c r="F8" s="56">
        <f>+G8-E8</f>
        <v>33</v>
      </c>
      <c r="G8" s="57">
        <v>42591</v>
      </c>
      <c r="H8" s="55" t="s">
        <v>13</v>
      </c>
      <c r="I8" s="55" t="s">
        <v>12</v>
      </c>
      <c r="J8" s="58">
        <f>35000*0</f>
        <v>0</v>
      </c>
      <c r="K8" s="59">
        <v>26148</v>
      </c>
      <c r="L8" s="59"/>
      <c r="M8" s="60">
        <f>IF(I8="C",(L8-K8)*J8,IF(I8="V",(K8-L8)*J8,))</f>
        <v>0</v>
      </c>
      <c r="N8" s="38"/>
      <c r="O8" s="38"/>
      <c r="P8" s="3"/>
      <c r="Q8" s="3"/>
    </row>
    <row r="9" spans="1:18" ht="18" customHeight="1" x14ac:dyDescent="0.25">
      <c r="A9" s="36" t="str">
        <f>+B9&amp;K9</f>
        <v>FWVUP29061827106</v>
      </c>
      <c r="B9" s="5" t="s">
        <v>296</v>
      </c>
      <c r="C9" s="55">
        <v>43280</v>
      </c>
      <c r="D9" s="54" t="s">
        <v>156</v>
      </c>
      <c r="E9" s="55">
        <v>43133</v>
      </c>
      <c r="F9" s="56">
        <f>+G9-E9</f>
        <v>147</v>
      </c>
      <c r="G9" s="57">
        <v>43280</v>
      </c>
      <c r="H9" s="55" t="s">
        <v>13</v>
      </c>
      <c r="I9" s="55" t="s">
        <v>14</v>
      </c>
      <c r="J9" s="58">
        <v>40000</v>
      </c>
      <c r="K9" s="59">
        <v>27106</v>
      </c>
      <c r="L9" s="67" t="str">
        <f>VLOOKUP(B9,'Inf. RA_$$'!M:Q,4,0)</f>
        <v>27139,947</v>
      </c>
      <c r="M9" s="60">
        <f>IF(I9="C",(L9-K9)*J9,IF(I9="V",(K9-L9)*J9,))</f>
        <v>-1357880.0000000047</v>
      </c>
      <c r="N9" s="12" t="str">
        <f>+VLOOKUP(A9,'Inf. RA_$$'!T:U,2,0)</f>
        <v>-33,839795527769</v>
      </c>
      <c r="O9" s="324">
        <f>+N9*J9</f>
        <v>-1353591.8211107599</v>
      </c>
      <c r="P9" s="3">
        <f>+J9*K9/1000</f>
        <v>1084240</v>
      </c>
      <c r="Q9" s="3">
        <f>+J9*L9/1000</f>
        <v>1085597.8799999999</v>
      </c>
      <c r="R9" s="3"/>
    </row>
    <row r="10" spans="1:18" x14ac:dyDescent="0.25">
      <c r="A10" s="36" t="str">
        <f>+B10&amp;K10</f>
        <v>FWVUP03071827150</v>
      </c>
      <c r="B10" s="323" t="s">
        <v>366</v>
      </c>
      <c r="C10" s="55">
        <v>43230</v>
      </c>
      <c r="D10" s="54" t="s">
        <v>156</v>
      </c>
      <c r="E10" s="55">
        <v>43230</v>
      </c>
      <c r="F10" s="56">
        <f>+G10-E10</f>
        <v>54</v>
      </c>
      <c r="G10" s="57">
        <v>43284</v>
      </c>
      <c r="H10" s="55" t="s">
        <v>13</v>
      </c>
      <c r="I10" s="55" t="s">
        <v>14</v>
      </c>
      <c r="J10" s="58">
        <v>50000</v>
      </c>
      <c r="K10" s="59">
        <v>27150</v>
      </c>
      <c r="L10" s="67" t="str">
        <f>VLOOKUP(B10,'Inf. RA_$$'!M:Q,4,0)</f>
        <v>27147,566</v>
      </c>
      <c r="M10" s="60">
        <f>IF(I10="C",(L10-K10)*J10,IF(I10="V",(K10-L10)*J10,))</f>
        <v>121700.0000000553</v>
      </c>
      <c r="N10" s="12" t="str">
        <f>+VLOOKUP(A10,'Inf. RA_$$'!T:U,2,0)</f>
        <v>2,425578391827</v>
      </c>
      <c r="O10" s="324">
        <f>+N10*J10</f>
        <v>121278.91959135</v>
      </c>
      <c r="P10" s="3">
        <f>+J10*K10/1000</f>
        <v>1357500</v>
      </c>
      <c r="Q10" s="3">
        <f>+J10*L10/1000</f>
        <v>1357378.3</v>
      </c>
    </row>
    <row r="11" spans="1:18" x14ac:dyDescent="0.25">
      <c r="F11" s="20"/>
      <c r="K11" s="63"/>
      <c r="N11" s="4"/>
      <c r="O11" s="4"/>
      <c r="P11" s="36"/>
    </row>
    <row r="13" spans="1:18" x14ac:dyDescent="0.25">
      <c r="P13" s="63"/>
    </row>
    <row r="14" spans="1:18" x14ac:dyDescent="0.25">
      <c r="K14" s="39" t="str">
        <f>IF(O14&gt;0,"Derecho FWD","Obligación FWD")</f>
        <v>Obligación FWD</v>
      </c>
      <c r="O14" s="268">
        <f>SUM(O9:O12)</f>
        <v>-1232312.9015194098</v>
      </c>
    </row>
    <row r="16" spans="1:18" x14ac:dyDescent="0.25">
      <c r="M16" s="268"/>
      <c r="O16" s="36">
        <v>-1298084</v>
      </c>
    </row>
    <row r="17" spans="7:15" x14ac:dyDescent="0.25">
      <c r="G17" t="s">
        <v>295</v>
      </c>
    </row>
    <row r="18" spans="7:15" x14ac:dyDescent="0.25">
      <c r="M18" s="36"/>
    </row>
    <row r="19" spans="7:15" x14ac:dyDescent="0.25">
      <c r="M19" s="36"/>
    </row>
    <row r="20" spans="7:15" x14ac:dyDescent="0.25">
      <c r="I20" s="18"/>
      <c r="M20" s="36"/>
    </row>
    <row r="21" spans="7:15" x14ac:dyDescent="0.25">
      <c r="I21" s="18"/>
      <c r="M21" s="36"/>
      <c r="O21" s="3">
        <v>1298578</v>
      </c>
    </row>
    <row r="22" spans="7:15" x14ac:dyDescent="0.25">
      <c r="K22" s="268"/>
      <c r="L22" s="268"/>
    </row>
  </sheetData>
  <conditionalFormatting sqref="G1:G5 G11:G1048576">
    <cfRule type="cellIs" dxfId="141" priority="19" operator="equal">
      <formula>TODAY()</formula>
    </cfRule>
    <cfRule type="cellIs" dxfId="140" priority="20" operator="equal">
      <formula>TODAY()</formula>
    </cfRule>
  </conditionalFormatting>
  <conditionalFormatting sqref="C1:C3">
    <cfRule type="cellIs" dxfId="139" priority="16" stopIfTrue="1" operator="equal">
      <formula>TODAY()+1</formula>
    </cfRule>
    <cfRule type="cellIs" dxfId="138" priority="17" stopIfTrue="1" operator="equal">
      <formula>TODAY()-1</formula>
    </cfRule>
    <cfRule type="cellIs" dxfId="137" priority="18" stopIfTrue="1" operator="equal">
      <formula>TODAY()</formula>
    </cfRule>
  </conditionalFormatting>
  <conditionalFormatting sqref="G6:G7">
    <cfRule type="cellIs" dxfId="136" priority="13" stopIfTrue="1" operator="equal">
      <formula>TODAY()+1</formula>
    </cfRule>
    <cfRule type="cellIs" dxfId="135" priority="14" stopIfTrue="1" operator="equal">
      <formula>TODAY()-1</formula>
    </cfRule>
    <cfRule type="cellIs" dxfId="134" priority="15" stopIfTrue="1" operator="equal">
      <formula>TODAY()</formula>
    </cfRule>
  </conditionalFormatting>
  <conditionalFormatting sqref="G9:G10">
    <cfRule type="cellIs" dxfId="133" priority="4" stopIfTrue="1" operator="equal">
      <formula>TODAY()+1</formula>
    </cfRule>
    <cfRule type="cellIs" dxfId="132" priority="5" stopIfTrue="1" operator="equal">
      <formula>TODAY()-1</formula>
    </cfRule>
    <cfRule type="cellIs" dxfId="131" priority="6" stopIfTrue="1" operator="equal">
      <formula>TODAY()</formula>
    </cfRule>
  </conditionalFormatting>
  <conditionalFormatting sqref="G8">
    <cfRule type="cellIs" dxfId="130" priority="1" stopIfTrue="1" operator="equal">
      <formula>TODAY()+1</formula>
    </cfRule>
    <cfRule type="cellIs" dxfId="129" priority="2" stopIfTrue="1" operator="equal">
      <formula>TODAY()-1</formula>
    </cfRule>
    <cfRule type="cellIs" dxfId="128" priority="3" stopIfTrue="1" operator="equal">
      <formula>TODAY()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1">
    <tabColor theme="0" tint="-0.499984740745262"/>
  </sheetPr>
  <dimension ref="A1:U55"/>
  <sheetViews>
    <sheetView zoomScale="85" zoomScaleNormal="85" workbookViewId="0">
      <selection sqref="A1:Q1048576"/>
    </sheetView>
  </sheetViews>
  <sheetFormatPr baseColWidth="10" defaultRowHeight="15" x14ac:dyDescent="0.25"/>
  <cols>
    <col min="1" max="1" width="11.42578125" style="36" bestFit="1" customWidth="1"/>
    <col min="2" max="2" width="70.140625" style="36" bestFit="1" customWidth="1"/>
    <col min="3" max="3" width="10.7109375" style="36" bestFit="1" customWidth="1"/>
    <col min="4" max="4" width="10.42578125" style="36" bestFit="1" customWidth="1"/>
    <col min="5" max="5" width="8.42578125" style="36" bestFit="1" customWidth="1"/>
    <col min="6" max="6" width="10.42578125" style="36" bestFit="1" customWidth="1"/>
    <col min="7" max="7" width="9.42578125" style="36" bestFit="1" customWidth="1"/>
    <col min="8" max="8" width="10.42578125" style="36" bestFit="1" customWidth="1"/>
    <col min="9" max="9" width="12.5703125" style="36" bestFit="1" customWidth="1"/>
    <col min="10" max="10" width="10.7109375" style="36" bestFit="1" customWidth="1"/>
    <col min="11" max="11" width="9.7109375" style="36" bestFit="1" customWidth="1"/>
    <col min="12" max="12" width="13.7109375" style="36" bestFit="1" customWidth="1"/>
    <col min="13" max="13" width="13.28515625" style="36" bestFit="1" customWidth="1"/>
    <col min="14" max="14" width="19.5703125" style="36" bestFit="1" customWidth="1"/>
    <col min="15" max="15" width="14.42578125" style="36" bestFit="1" customWidth="1"/>
    <col min="16" max="16" width="9.7109375" style="36" bestFit="1" customWidth="1"/>
    <col min="17" max="17" width="20.7109375" style="36" bestFit="1" customWidth="1"/>
    <col min="18" max="18" width="13.7109375" style="36" customWidth="1"/>
    <col min="19" max="19" width="18.140625" style="36" bestFit="1" customWidth="1"/>
    <col min="20" max="20" width="23.85546875" style="64" bestFit="1" customWidth="1"/>
    <col min="21" max="21" width="17.7109375" style="64" bestFit="1" customWidth="1"/>
    <col min="22" max="16384" width="11.42578125" style="36"/>
  </cols>
  <sheetData>
    <row r="1" spans="1:21" x14ac:dyDescent="0.25">
      <c r="A1" s="36" t="s">
        <v>15</v>
      </c>
      <c r="B1" s="36" t="s">
        <v>16</v>
      </c>
      <c r="C1" s="36" t="s">
        <v>17</v>
      </c>
      <c r="D1" s="36" t="s">
        <v>18</v>
      </c>
      <c r="E1" s="36" t="s">
        <v>19</v>
      </c>
      <c r="F1" s="36" t="s">
        <v>20</v>
      </c>
      <c r="G1" s="36" t="s">
        <v>21</v>
      </c>
      <c r="H1" s="36" t="s">
        <v>22</v>
      </c>
      <c r="I1" s="36" t="s">
        <v>23</v>
      </c>
      <c r="J1" s="36" t="s">
        <v>24</v>
      </c>
      <c r="K1" s="36" t="s">
        <v>25</v>
      </c>
      <c r="L1" s="36" t="s">
        <v>26</v>
      </c>
      <c r="M1" s="36" t="s">
        <v>27</v>
      </c>
      <c r="N1" s="36" t="s">
        <v>28</v>
      </c>
      <c r="O1" s="36" t="s">
        <v>29</v>
      </c>
      <c r="P1" s="36" t="s">
        <v>30</v>
      </c>
      <c r="Q1" s="36" t="s">
        <v>31</v>
      </c>
    </row>
    <row r="2" spans="1:21" x14ac:dyDescent="0.25">
      <c r="A2" s="36" t="s">
        <v>32</v>
      </c>
      <c r="B2" s="36" t="s">
        <v>33</v>
      </c>
      <c r="C2" s="36" t="s">
        <v>34</v>
      </c>
      <c r="D2" s="36" t="s">
        <v>385</v>
      </c>
      <c r="E2" s="36">
        <v>0.65637731481481476</v>
      </c>
      <c r="F2" s="36" t="s">
        <v>385</v>
      </c>
      <c r="G2" s="36">
        <v>0.7336921296296296</v>
      </c>
      <c r="H2" s="36" t="s">
        <v>385</v>
      </c>
      <c r="I2" s="36">
        <v>53</v>
      </c>
      <c r="J2" s="36">
        <v>53</v>
      </c>
      <c r="K2" s="36">
        <v>0</v>
      </c>
      <c r="L2" s="36">
        <v>0</v>
      </c>
      <c r="M2" s="36" t="s">
        <v>147</v>
      </c>
      <c r="N2" s="36" t="s">
        <v>393</v>
      </c>
      <c r="O2" s="36">
        <v>0</v>
      </c>
      <c r="P2" s="36" t="s">
        <v>394</v>
      </c>
      <c r="Q2" s="36" t="s">
        <v>395</v>
      </c>
      <c r="T2" s="64" t="str">
        <f>+M2&amp;N2</f>
        <v>FWC*P160518644,35</v>
      </c>
      <c r="U2" s="64" t="str">
        <f>+Q2</f>
        <v>-11,62</v>
      </c>
    </row>
    <row r="3" spans="1:21" x14ac:dyDescent="0.25">
      <c r="A3" s="36" t="s">
        <v>32</v>
      </c>
      <c r="B3" s="36" t="s">
        <v>33</v>
      </c>
      <c r="C3" s="36" t="s">
        <v>34</v>
      </c>
      <c r="D3" s="36" t="s">
        <v>385</v>
      </c>
      <c r="E3" s="36">
        <v>0.65637731481481476</v>
      </c>
      <c r="F3" s="36" t="s">
        <v>385</v>
      </c>
      <c r="G3" s="36">
        <v>0.7336921296296296</v>
      </c>
      <c r="H3" s="36" t="s">
        <v>385</v>
      </c>
      <c r="I3" s="36">
        <v>53</v>
      </c>
      <c r="J3" s="36">
        <v>53</v>
      </c>
      <c r="K3" s="36">
        <v>0</v>
      </c>
      <c r="L3" s="36">
        <v>0</v>
      </c>
      <c r="M3" s="36" t="s">
        <v>149</v>
      </c>
      <c r="N3" s="36" t="s">
        <v>396</v>
      </c>
      <c r="O3" s="36">
        <v>0</v>
      </c>
      <c r="P3" s="36" t="s">
        <v>397</v>
      </c>
      <c r="Q3" s="36" t="s">
        <v>398</v>
      </c>
      <c r="T3" s="64" t="str">
        <f t="shared" ref="T3:T55" si="0">+M3&amp;N3</f>
        <v>FWC*P170518641,54</v>
      </c>
      <c r="U3" s="64" t="str">
        <f t="shared" ref="U3:U55" si="1">+Q3</f>
        <v>-10,64929004733</v>
      </c>
    </row>
    <row r="4" spans="1:21" x14ac:dyDescent="0.25">
      <c r="A4" s="36" t="s">
        <v>32</v>
      </c>
      <c r="B4" s="36" t="s">
        <v>33</v>
      </c>
      <c r="C4" s="36" t="s">
        <v>34</v>
      </c>
      <c r="D4" s="36" t="s">
        <v>385</v>
      </c>
      <c r="E4" s="36">
        <v>0.65637731481481476</v>
      </c>
      <c r="F4" s="36" t="s">
        <v>385</v>
      </c>
      <c r="G4" s="36">
        <v>0.7336921296296296</v>
      </c>
      <c r="H4" s="36" t="s">
        <v>385</v>
      </c>
      <c r="I4" s="36">
        <v>53</v>
      </c>
      <c r="J4" s="36">
        <v>53</v>
      </c>
      <c r="K4" s="36">
        <v>0</v>
      </c>
      <c r="L4" s="36">
        <v>0</v>
      </c>
      <c r="M4" s="36" t="s">
        <v>344</v>
      </c>
      <c r="N4" s="36" t="s">
        <v>399</v>
      </c>
      <c r="O4" s="36">
        <v>0</v>
      </c>
      <c r="P4" s="36" t="s">
        <v>400</v>
      </c>
      <c r="Q4" s="36" t="s">
        <v>401</v>
      </c>
      <c r="T4" s="64" t="str">
        <f t="shared" si="0"/>
        <v>FWC*P050219620,18</v>
      </c>
      <c r="U4" s="64" t="str">
        <f t="shared" si="1"/>
        <v>11,045039990606</v>
      </c>
    </row>
    <row r="5" spans="1:21" x14ac:dyDescent="0.25">
      <c r="A5" s="36" t="s">
        <v>32</v>
      </c>
      <c r="B5" s="36" t="s">
        <v>33</v>
      </c>
      <c r="C5" s="36" t="s">
        <v>34</v>
      </c>
      <c r="D5" s="36" t="s">
        <v>385</v>
      </c>
      <c r="E5" s="36">
        <v>0.65637731481481476</v>
      </c>
      <c r="F5" s="36" t="s">
        <v>385</v>
      </c>
      <c r="G5" s="36">
        <v>0.7336921296296296</v>
      </c>
      <c r="H5" s="36" t="s">
        <v>385</v>
      </c>
      <c r="I5" s="36">
        <v>53</v>
      </c>
      <c r="J5" s="36">
        <v>53</v>
      </c>
      <c r="K5" s="36">
        <v>0</v>
      </c>
      <c r="L5" s="36">
        <v>0</v>
      </c>
      <c r="M5" s="36" t="s">
        <v>341</v>
      </c>
      <c r="N5" s="36" t="s">
        <v>402</v>
      </c>
      <c r="O5" s="36">
        <v>0</v>
      </c>
      <c r="P5" s="36" t="s">
        <v>403</v>
      </c>
      <c r="Q5" s="36" t="s">
        <v>404</v>
      </c>
      <c r="T5" s="64" t="str">
        <f t="shared" si="0"/>
        <v>FWC*E07061822,7</v>
      </c>
      <c r="U5" s="64" t="str">
        <f t="shared" si="1"/>
        <v>60,113440396138</v>
      </c>
    </row>
    <row r="6" spans="1:21" x14ac:dyDescent="0.25">
      <c r="A6" s="36" t="s">
        <v>32</v>
      </c>
      <c r="B6" s="36" t="s">
        <v>33</v>
      </c>
      <c r="C6" s="36" t="s">
        <v>34</v>
      </c>
      <c r="D6" s="36" t="s">
        <v>385</v>
      </c>
      <c r="E6" s="36">
        <v>0.65637731481481476</v>
      </c>
      <c r="F6" s="36" t="s">
        <v>385</v>
      </c>
      <c r="G6" s="36">
        <v>0.7336921296296296</v>
      </c>
      <c r="H6" s="36" t="s">
        <v>385</v>
      </c>
      <c r="I6" s="36">
        <v>53</v>
      </c>
      <c r="J6" s="36">
        <v>53</v>
      </c>
      <c r="K6" s="36">
        <v>0</v>
      </c>
      <c r="L6" s="36">
        <v>0</v>
      </c>
      <c r="M6" s="36" t="s">
        <v>122</v>
      </c>
      <c r="N6" s="36" t="s">
        <v>405</v>
      </c>
      <c r="O6" s="36">
        <v>0</v>
      </c>
      <c r="P6" s="36" t="s">
        <v>394</v>
      </c>
      <c r="Q6" s="36" t="s">
        <v>406</v>
      </c>
      <c r="T6" s="64" t="str">
        <f t="shared" si="0"/>
        <v>FWV*P160518652,95</v>
      </c>
      <c r="U6" s="64" t="str">
        <f t="shared" si="1"/>
        <v>20,22</v>
      </c>
    </row>
    <row r="7" spans="1:21" x14ac:dyDescent="0.25">
      <c r="A7" s="36" t="s">
        <v>32</v>
      </c>
      <c r="B7" s="36" t="s">
        <v>33</v>
      </c>
      <c r="C7" s="36" t="s">
        <v>34</v>
      </c>
      <c r="D7" s="36" t="s">
        <v>385</v>
      </c>
      <c r="E7" s="36">
        <v>0.65637731481481476</v>
      </c>
      <c r="F7" s="36" t="s">
        <v>385</v>
      </c>
      <c r="G7" s="36">
        <v>0.7336921296296296</v>
      </c>
      <c r="H7" s="36" t="s">
        <v>385</v>
      </c>
      <c r="I7" s="36">
        <v>53</v>
      </c>
      <c r="J7" s="36">
        <v>53</v>
      </c>
      <c r="K7" s="36">
        <v>0</v>
      </c>
      <c r="L7" s="36">
        <v>0</v>
      </c>
      <c r="M7" s="36" t="s">
        <v>122</v>
      </c>
      <c r="N7" s="36" t="s">
        <v>405</v>
      </c>
      <c r="O7" s="36">
        <v>0</v>
      </c>
      <c r="P7" s="36" t="s">
        <v>394</v>
      </c>
      <c r="Q7" s="36" t="s">
        <v>406</v>
      </c>
      <c r="T7" s="64" t="str">
        <f t="shared" si="0"/>
        <v>FWV*P160518652,95</v>
      </c>
      <c r="U7" s="64" t="str">
        <f t="shared" si="1"/>
        <v>20,22</v>
      </c>
    </row>
    <row r="8" spans="1:21" x14ac:dyDescent="0.25">
      <c r="A8" s="36" t="s">
        <v>32</v>
      </c>
      <c r="B8" s="36" t="s">
        <v>33</v>
      </c>
      <c r="C8" s="36" t="s">
        <v>34</v>
      </c>
      <c r="D8" s="36" t="s">
        <v>385</v>
      </c>
      <c r="E8" s="36">
        <v>0.65637731481481476</v>
      </c>
      <c r="F8" s="36" t="s">
        <v>385</v>
      </c>
      <c r="G8" s="36">
        <v>0.7336921296296296</v>
      </c>
      <c r="H8" s="36" t="s">
        <v>385</v>
      </c>
      <c r="I8" s="36">
        <v>53</v>
      </c>
      <c r="J8" s="36">
        <v>53</v>
      </c>
      <c r="K8" s="36">
        <v>0</v>
      </c>
      <c r="L8" s="36">
        <v>0</v>
      </c>
      <c r="M8" s="36" t="s">
        <v>129</v>
      </c>
      <c r="N8" s="36" t="s">
        <v>407</v>
      </c>
      <c r="O8" s="36">
        <v>0</v>
      </c>
      <c r="P8" s="36" t="s">
        <v>397</v>
      </c>
      <c r="Q8" s="36" t="s">
        <v>408</v>
      </c>
      <c r="T8" s="64" t="str">
        <f t="shared" si="0"/>
        <v>FWV*P170518649,35</v>
      </c>
      <c r="U8" s="64" t="str">
        <f t="shared" si="1"/>
        <v>18,458769415372</v>
      </c>
    </row>
    <row r="9" spans="1:21" x14ac:dyDescent="0.25">
      <c r="A9" s="36" t="s">
        <v>32</v>
      </c>
      <c r="B9" s="36" t="s">
        <v>33</v>
      </c>
      <c r="C9" s="36" t="s">
        <v>34</v>
      </c>
      <c r="D9" s="36" t="s">
        <v>385</v>
      </c>
      <c r="E9" s="36">
        <v>0.65637731481481476</v>
      </c>
      <c r="F9" s="36" t="s">
        <v>385</v>
      </c>
      <c r="G9" s="36">
        <v>0.7336921296296296</v>
      </c>
      <c r="H9" s="36" t="s">
        <v>385</v>
      </c>
      <c r="I9" s="36">
        <v>53</v>
      </c>
      <c r="J9" s="36">
        <v>53</v>
      </c>
      <c r="K9" s="36">
        <v>0</v>
      </c>
      <c r="L9" s="36">
        <v>0</v>
      </c>
      <c r="M9" s="36" t="s">
        <v>298</v>
      </c>
      <c r="N9" s="36" t="s">
        <v>409</v>
      </c>
      <c r="O9" s="36">
        <v>0</v>
      </c>
      <c r="P9" s="36" t="s">
        <v>400</v>
      </c>
      <c r="Q9" s="36" t="s">
        <v>410</v>
      </c>
      <c r="T9" s="64" t="str">
        <f t="shared" si="0"/>
        <v>FWV*P050219607,7</v>
      </c>
      <c r="U9" s="64" t="str">
        <f t="shared" si="1"/>
        <v>-23,257505577809</v>
      </c>
    </row>
    <row r="10" spans="1:21" x14ac:dyDescent="0.25">
      <c r="A10" s="36" t="s">
        <v>32</v>
      </c>
      <c r="B10" s="36" t="s">
        <v>33</v>
      </c>
      <c r="C10" s="36" t="s">
        <v>34</v>
      </c>
      <c r="D10" s="36" t="s">
        <v>385</v>
      </c>
      <c r="E10" s="36">
        <v>0.65637731481481476</v>
      </c>
      <c r="F10" s="36" t="s">
        <v>385</v>
      </c>
      <c r="G10" s="36">
        <v>0.7336921296296296</v>
      </c>
      <c r="H10" s="36" t="s">
        <v>385</v>
      </c>
      <c r="I10" s="36">
        <v>53</v>
      </c>
      <c r="J10" s="36">
        <v>53</v>
      </c>
      <c r="K10" s="36">
        <v>0</v>
      </c>
      <c r="L10" s="36">
        <v>0</v>
      </c>
      <c r="M10" s="36" t="s">
        <v>298</v>
      </c>
      <c r="N10" s="36" t="s">
        <v>411</v>
      </c>
      <c r="O10" s="36">
        <v>0</v>
      </c>
      <c r="P10" s="36" t="s">
        <v>400</v>
      </c>
      <c r="Q10" s="36" t="s">
        <v>412</v>
      </c>
      <c r="T10" s="64" t="str">
        <f t="shared" si="0"/>
        <v>FWV*P050219609,4</v>
      </c>
      <c r="U10" s="64" t="str">
        <f t="shared" si="1"/>
        <v>-21,593948566731</v>
      </c>
    </row>
    <row r="11" spans="1:21" x14ac:dyDescent="0.25">
      <c r="A11" s="36" t="s">
        <v>32</v>
      </c>
      <c r="B11" s="36" t="s">
        <v>33</v>
      </c>
      <c r="C11" s="36" t="s">
        <v>34</v>
      </c>
      <c r="D11" s="36" t="s">
        <v>385</v>
      </c>
      <c r="E11" s="36">
        <v>0.65637731481481476</v>
      </c>
      <c r="F11" s="36" t="s">
        <v>385</v>
      </c>
      <c r="G11" s="36">
        <v>0.7336921296296296</v>
      </c>
      <c r="H11" s="36" t="s">
        <v>385</v>
      </c>
      <c r="I11" s="36">
        <v>53</v>
      </c>
      <c r="J11" s="36">
        <v>53</v>
      </c>
      <c r="K11" s="36">
        <v>0</v>
      </c>
      <c r="L11" s="36">
        <v>0</v>
      </c>
      <c r="M11" s="36" t="s">
        <v>298</v>
      </c>
      <c r="N11" s="36" t="s">
        <v>413</v>
      </c>
      <c r="O11" s="36">
        <v>0</v>
      </c>
      <c r="P11" s="36" t="s">
        <v>400</v>
      </c>
      <c r="Q11" s="36" t="s">
        <v>414</v>
      </c>
      <c r="T11" s="64" t="str">
        <f t="shared" si="0"/>
        <v>FWV*P050219606,5</v>
      </c>
      <c r="U11" s="64" t="str">
        <f t="shared" si="1"/>
        <v>-24,43178111504</v>
      </c>
    </row>
    <row r="12" spans="1:21" x14ac:dyDescent="0.25">
      <c r="A12" s="36" t="s">
        <v>32</v>
      </c>
      <c r="B12" s="36" t="s">
        <v>33</v>
      </c>
      <c r="C12" s="36" t="s">
        <v>34</v>
      </c>
      <c r="D12" s="36" t="s">
        <v>385</v>
      </c>
      <c r="E12" s="36">
        <v>0.65637731481481476</v>
      </c>
      <c r="F12" s="36" t="s">
        <v>385</v>
      </c>
      <c r="G12" s="36">
        <v>0.7336921296296296</v>
      </c>
      <c r="H12" s="36" t="s">
        <v>385</v>
      </c>
      <c r="I12" s="36">
        <v>53</v>
      </c>
      <c r="J12" s="36">
        <v>53</v>
      </c>
      <c r="K12" s="36">
        <v>0</v>
      </c>
      <c r="L12" s="36">
        <v>0</v>
      </c>
      <c r="M12" s="36" t="s">
        <v>298</v>
      </c>
      <c r="N12" s="36" t="s">
        <v>415</v>
      </c>
      <c r="O12" s="36">
        <v>0</v>
      </c>
      <c r="P12" s="36" t="s">
        <v>400</v>
      </c>
      <c r="Q12" s="36" t="s">
        <v>416</v>
      </c>
      <c r="T12" s="64" t="str">
        <f t="shared" si="0"/>
        <v>FWV*P050219602,85</v>
      </c>
      <c r="U12" s="64" t="str">
        <f t="shared" si="1"/>
        <v>-28,003535874118</v>
      </c>
    </row>
    <row r="13" spans="1:21" x14ac:dyDescent="0.25">
      <c r="A13" s="36" t="s">
        <v>32</v>
      </c>
      <c r="B13" s="36" t="s">
        <v>33</v>
      </c>
      <c r="C13" s="36" t="s">
        <v>34</v>
      </c>
      <c r="D13" s="36" t="s">
        <v>385</v>
      </c>
      <c r="E13" s="36">
        <v>0.65637731481481476</v>
      </c>
      <c r="F13" s="36" t="s">
        <v>385</v>
      </c>
      <c r="G13" s="36">
        <v>0.7336921296296296</v>
      </c>
      <c r="H13" s="36" t="s">
        <v>385</v>
      </c>
      <c r="I13" s="36">
        <v>53</v>
      </c>
      <c r="J13" s="36">
        <v>53</v>
      </c>
      <c r="K13" s="36">
        <v>0</v>
      </c>
      <c r="L13" s="36">
        <v>0</v>
      </c>
      <c r="M13" s="36" t="s">
        <v>298</v>
      </c>
      <c r="N13" s="36" t="s">
        <v>417</v>
      </c>
      <c r="O13" s="36">
        <v>0</v>
      </c>
      <c r="P13" s="36" t="s">
        <v>400</v>
      </c>
      <c r="Q13" s="36" t="s">
        <v>418</v>
      </c>
      <c r="T13" s="64" t="str">
        <f t="shared" si="0"/>
        <v>FWV*P050219600,4</v>
      </c>
      <c r="U13" s="64" t="str">
        <f t="shared" si="1"/>
        <v>-30,401015095964</v>
      </c>
    </row>
    <row r="14" spans="1:21" x14ac:dyDescent="0.25">
      <c r="A14" s="36" t="s">
        <v>32</v>
      </c>
      <c r="B14" s="36" t="s">
        <v>33</v>
      </c>
      <c r="C14" s="36" t="s">
        <v>34</v>
      </c>
      <c r="D14" s="36" t="s">
        <v>385</v>
      </c>
      <c r="E14" s="36">
        <v>0.65637731481481476</v>
      </c>
      <c r="F14" s="36" t="s">
        <v>385</v>
      </c>
      <c r="G14" s="36">
        <v>0.7336921296296296</v>
      </c>
      <c r="H14" s="36" t="s">
        <v>385</v>
      </c>
      <c r="I14" s="36">
        <v>53</v>
      </c>
      <c r="J14" s="36">
        <v>53</v>
      </c>
      <c r="K14" s="36">
        <v>0</v>
      </c>
      <c r="L14" s="36">
        <v>0</v>
      </c>
      <c r="M14" s="36" t="s">
        <v>331</v>
      </c>
      <c r="N14" s="36" t="s">
        <v>419</v>
      </c>
      <c r="O14" s="36">
        <v>0</v>
      </c>
      <c r="P14" s="36" t="s">
        <v>420</v>
      </c>
      <c r="Q14" s="36" t="s">
        <v>421</v>
      </c>
      <c r="T14" s="64" t="str">
        <f t="shared" si="0"/>
        <v>FWC*P130618605,5</v>
      </c>
      <c r="U14" s="64" t="str">
        <f t="shared" si="1"/>
        <v>25,338862836734</v>
      </c>
    </row>
    <row r="15" spans="1:21" x14ac:dyDescent="0.25">
      <c r="A15" s="36" t="s">
        <v>32</v>
      </c>
      <c r="B15" s="36" t="s">
        <v>33</v>
      </c>
      <c r="C15" s="36" t="s">
        <v>34</v>
      </c>
      <c r="D15" s="36" t="s">
        <v>385</v>
      </c>
      <c r="E15" s="36">
        <v>0.65637731481481476</v>
      </c>
      <c r="F15" s="36" t="s">
        <v>385</v>
      </c>
      <c r="G15" s="36">
        <v>0.7336921296296296</v>
      </c>
      <c r="H15" s="36" t="s">
        <v>385</v>
      </c>
      <c r="I15" s="36">
        <v>53</v>
      </c>
      <c r="J15" s="36">
        <v>53</v>
      </c>
      <c r="K15" s="36">
        <v>0</v>
      </c>
      <c r="L15" s="36">
        <v>0</v>
      </c>
      <c r="M15" s="36" t="s">
        <v>335</v>
      </c>
      <c r="N15" s="36" t="s">
        <v>422</v>
      </c>
      <c r="O15" s="36">
        <v>0</v>
      </c>
      <c r="P15" s="36" t="s">
        <v>423</v>
      </c>
      <c r="Q15" s="36" t="s">
        <v>424</v>
      </c>
      <c r="T15" s="64" t="str">
        <f t="shared" si="0"/>
        <v>FWC*P110618603,07</v>
      </c>
      <c r="U15" s="64" t="str">
        <f t="shared" si="1"/>
        <v>27,76997729505</v>
      </c>
    </row>
    <row r="16" spans="1:21" x14ac:dyDescent="0.25">
      <c r="A16" s="36" t="s">
        <v>32</v>
      </c>
      <c r="B16" s="36" t="s">
        <v>33</v>
      </c>
      <c r="C16" s="36" t="s">
        <v>34</v>
      </c>
      <c r="D16" s="36" t="s">
        <v>385</v>
      </c>
      <c r="E16" s="36">
        <v>0.65637731481481476</v>
      </c>
      <c r="F16" s="36" t="s">
        <v>385</v>
      </c>
      <c r="G16" s="36">
        <v>0.7336921296296296</v>
      </c>
      <c r="H16" s="36" t="s">
        <v>385</v>
      </c>
      <c r="I16" s="36">
        <v>53</v>
      </c>
      <c r="J16" s="36">
        <v>53</v>
      </c>
      <c r="K16" s="36">
        <v>0</v>
      </c>
      <c r="L16" s="36">
        <v>0</v>
      </c>
      <c r="M16" s="36" t="s">
        <v>336</v>
      </c>
      <c r="N16" s="36" t="s">
        <v>425</v>
      </c>
      <c r="O16" s="36">
        <v>0</v>
      </c>
      <c r="P16" s="36" t="s">
        <v>426</v>
      </c>
      <c r="Q16" s="36" t="s">
        <v>427</v>
      </c>
      <c r="T16" s="64" t="str">
        <f t="shared" si="0"/>
        <v>FWC*P240518593,85</v>
      </c>
      <c r="U16" s="64" t="str">
        <f t="shared" si="1"/>
        <v>37,046846515496</v>
      </c>
    </row>
    <row r="17" spans="1:21" x14ac:dyDescent="0.25">
      <c r="A17" s="36" t="s">
        <v>32</v>
      </c>
      <c r="B17" s="36" t="s">
        <v>33</v>
      </c>
      <c r="C17" s="36" t="s">
        <v>34</v>
      </c>
      <c r="D17" s="36" t="s">
        <v>385</v>
      </c>
      <c r="E17" s="36">
        <v>0.65637731481481476</v>
      </c>
      <c r="F17" s="36" t="s">
        <v>385</v>
      </c>
      <c r="G17" s="36">
        <v>0.7336921296296296</v>
      </c>
      <c r="H17" s="36" t="s">
        <v>385</v>
      </c>
      <c r="I17" s="36">
        <v>53</v>
      </c>
      <c r="J17" s="36">
        <v>53</v>
      </c>
      <c r="K17" s="36">
        <v>0</v>
      </c>
      <c r="L17" s="36">
        <v>0</v>
      </c>
      <c r="M17" s="36" t="s">
        <v>338</v>
      </c>
      <c r="N17" s="36" t="s">
        <v>428</v>
      </c>
      <c r="O17" s="36">
        <v>0</v>
      </c>
      <c r="P17" s="36" t="s">
        <v>429</v>
      </c>
      <c r="Q17" s="36" t="s">
        <v>430</v>
      </c>
      <c r="T17" s="64" t="str">
        <f t="shared" si="0"/>
        <v>FWC*P080618614,13</v>
      </c>
      <c r="U17" s="64" t="str">
        <f t="shared" si="1"/>
        <v>16,737923618892</v>
      </c>
    </row>
    <row r="18" spans="1:21" x14ac:dyDescent="0.25">
      <c r="A18" s="36" t="s">
        <v>32</v>
      </c>
      <c r="B18" s="36" t="s">
        <v>33</v>
      </c>
      <c r="C18" s="36" t="s">
        <v>34</v>
      </c>
      <c r="D18" s="36" t="s">
        <v>385</v>
      </c>
      <c r="E18" s="36">
        <v>0.65637731481481476</v>
      </c>
      <c r="F18" s="36" t="s">
        <v>385</v>
      </c>
      <c r="G18" s="36">
        <v>0.7336921296296296</v>
      </c>
      <c r="H18" s="36" t="s">
        <v>385</v>
      </c>
      <c r="I18" s="36">
        <v>53</v>
      </c>
      <c r="J18" s="36">
        <v>53</v>
      </c>
      <c r="K18" s="36">
        <v>0</v>
      </c>
      <c r="L18" s="36">
        <v>0</v>
      </c>
      <c r="M18" s="36" t="s">
        <v>339</v>
      </c>
      <c r="N18" s="36" t="s">
        <v>431</v>
      </c>
      <c r="O18" s="36">
        <v>0</v>
      </c>
      <c r="P18" s="36" t="s">
        <v>432</v>
      </c>
      <c r="Q18" s="36" t="s">
        <v>433</v>
      </c>
      <c r="T18" s="64" t="str">
        <f t="shared" si="0"/>
        <v>FWC*P050618619,13</v>
      </c>
      <c r="U18" s="64" t="str">
        <f t="shared" si="1"/>
        <v>11,752624676284</v>
      </c>
    </row>
    <row r="19" spans="1:21" x14ac:dyDescent="0.25">
      <c r="A19" s="36" t="s">
        <v>32</v>
      </c>
      <c r="B19" s="36" t="s">
        <v>33</v>
      </c>
      <c r="C19" s="36" t="s">
        <v>34</v>
      </c>
      <c r="D19" s="36" t="s">
        <v>385</v>
      </c>
      <c r="E19" s="36">
        <v>0.65637731481481476</v>
      </c>
      <c r="F19" s="36" t="s">
        <v>385</v>
      </c>
      <c r="G19" s="36">
        <v>0.7336921296296296</v>
      </c>
      <c r="H19" s="36" t="s">
        <v>385</v>
      </c>
      <c r="I19" s="36">
        <v>53</v>
      </c>
      <c r="J19" s="36">
        <v>53</v>
      </c>
      <c r="K19" s="36">
        <v>0</v>
      </c>
      <c r="L19" s="36">
        <v>0</v>
      </c>
      <c r="M19" s="36" t="s">
        <v>343</v>
      </c>
      <c r="N19" s="36" t="s">
        <v>434</v>
      </c>
      <c r="O19" s="36">
        <v>0</v>
      </c>
      <c r="P19" s="36" t="s">
        <v>435</v>
      </c>
      <c r="Q19" s="36" t="s">
        <v>436</v>
      </c>
      <c r="T19" s="64" t="str">
        <f t="shared" si="0"/>
        <v>FWC*P010618620,04</v>
      </c>
      <c r="U19" s="64" t="str">
        <f t="shared" si="1"/>
        <v>10,851961557313</v>
      </c>
    </row>
    <row r="20" spans="1:21" x14ac:dyDescent="0.25">
      <c r="A20" s="36" t="s">
        <v>32</v>
      </c>
      <c r="B20" s="36" t="s">
        <v>33</v>
      </c>
      <c r="C20" s="36" t="s">
        <v>34</v>
      </c>
      <c r="D20" s="36" t="s">
        <v>385</v>
      </c>
      <c r="E20" s="36">
        <v>0.65637731481481476</v>
      </c>
      <c r="F20" s="36" t="s">
        <v>385</v>
      </c>
      <c r="G20" s="36">
        <v>0.7336921296296296</v>
      </c>
      <c r="H20" s="36" t="s">
        <v>385</v>
      </c>
      <c r="I20" s="36">
        <v>53</v>
      </c>
      <c r="J20" s="36">
        <v>53</v>
      </c>
      <c r="K20" s="36">
        <v>0</v>
      </c>
      <c r="L20" s="36">
        <v>0</v>
      </c>
      <c r="M20" s="36" t="s">
        <v>343</v>
      </c>
      <c r="N20" s="36" t="s">
        <v>437</v>
      </c>
      <c r="O20" s="36">
        <v>0</v>
      </c>
      <c r="P20" s="36" t="s">
        <v>435</v>
      </c>
      <c r="Q20" s="36" t="s">
        <v>438</v>
      </c>
      <c r="T20" s="64" t="str">
        <f t="shared" si="0"/>
        <v>FWC*P010618631,53</v>
      </c>
      <c r="U20" s="64" t="str">
        <f t="shared" si="1"/>
        <v>-0,62530632684798</v>
      </c>
    </row>
    <row r="21" spans="1:21" x14ac:dyDescent="0.25">
      <c r="A21" s="36" t="s">
        <v>32</v>
      </c>
      <c r="B21" s="36" t="s">
        <v>33</v>
      </c>
      <c r="C21" s="36" t="s">
        <v>34</v>
      </c>
      <c r="D21" s="36" t="s">
        <v>385</v>
      </c>
      <c r="E21" s="36">
        <v>0.65637731481481476</v>
      </c>
      <c r="F21" s="36" t="s">
        <v>385</v>
      </c>
      <c r="G21" s="36">
        <v>0.7336921296296296</v>
      </c>
      <c r="H21" s="36" t="s">
        <v>385</v>
      </c>
      <c r="I21" s="36">
        <v>53</v>
      </c>
      <c r="J21" s="36">
        <v>53</v>
      </c>
      <c r="K21" s="36">
        <v>0</v>
      </c>
      <c r="L21" s="36">
        <v>0</v>
      </c>
      <c r="M21" s="36" t="s">
        <v>147</v>
      </c>
      <c r="N21" s="36" t="s">
        <v>393</v>
      </c>
      <c r="O21" s="36">
        <v>0</v>
      </c>
      <c r="P21" s="36" t="s">
        <v>394</v>
      </c>
      <c r="Q21" s="36" t="s">
        <v>395</v>
      </c>
      <c r="T21" s="64" t="str">
        <f t="shared" si="0"/>
        <v>FWC*P160518644,35</v>
      </c>
      <c r="U21" s="64" t="str">
        <f t="shared" si="1"/>
        <v>-11,62</v>
      </c>
    </row>
    <row r="22" spans="1:21" x14ac:dyDescent="0.25">
      <c r="A22" s="36" t="s">
        <v>32</v>
      </c>
      <c r="B22" s="36" t="s">
        <v>33</v>
      </c>
      <c r="C22" s="36" t="s">
        <v>34</v>
      </c>
      <c r="D22" s="36" t="s">
        <v>385</v>
      </c>
      <c r="E22" s="36">
        <v>0.65637731481481476</v>
      </c>
      <c r="F22" s="36" t="s">
        <v>385</v>
      </c>
      <c r="G22" s="36">
        <v>0.7336921296296296</v>
      </c>
      <c r="H22" s="36" t="s">
        <v>385</v>
      </c>
      <c r="I22" s="36">
        <v>53</v>
      </c>
      <c r="J22" s="36">
        <v>53</v>
      </c>
      <c r="K22" s="36">
        <v>0</v>
      </c>
      <c r="L22" s="36">
        <v>0</v>
      </c>
      <c r="M22" s="36" t="s">
        <v>129</v>
      </c>
      <c r="N22" s="36" t="s">
        <v>407</v>
      </c>
      <c r="O22" s="36">
        <v>0</v>
      </c>
      <c r="P22" s="36" t="s">
        <v>397</v>
      </c>
      <c r="Q22" s="36" t="s">
        <v>408</v>
      </c>
      <c r="T22" s="64" t="str">
        <f t="shared" si="0"/>
        <v>FWV*P170518649,35</v>
      </c>
      <c r="U22" s="64" t="str">
        <f t="shared" si="1"/>
        <v>18,458769415372</v>
      </c>
    </row>
    <row r="23" spans="1:21" x14ac:dyDescent="0.25">
      <c r="A23" s="36" t="s">
        <v>32</v>
      </c>
      <c r="B23" s="36" t="s">
        <v>33</v>
      </c>
      <c r="C23" s="36" t="s">
        <v>34</v>
      </c>
      <c r="D23" s="36" t="s">
        <v>385</v>
      </c>
      <c r="E23" s="36">
        <v>0.65637731481481476</v>
      </c>
      <c r="F23" s="36" t="s">
        <v>385</v>
      </c>
      <c r="G23" s="36">
        <v>0.7336921296296296</v>
      </c>
      <c r="H23" s="36" t="s">
        <v>385</v>
      </c>
      <c r="I23" s="36">
        <v>53</v>
      </c>
      <c r="J23" s="36">
        <v>53</v>
      </c>
      <c r="K23" s="36">
        <v>0</v>
      </c>
      <c r="L23" s="36">
        <v>0</v>
      </c>
      <c r="M23" s="36" t="s">
        <v>149</v>
      </c>
      <c r="N23" s="36" t="s">
        <v>396</v>
      </c>
      <c r="O23" s="36">
        <v>0</v>
      </c>
      <c r="P23" s="36" t="s">
        <v>397</v>
      </c>
      <c r="Q23" s="36" t="s">
        <v>398</v>
      </c>
      <c r="T23" s="64" t="str">
        <f t="shared" si="0"/>
        <v>FWC*P170518641,54</v>
      </c>
      <c r="U23" s="64" t="str">
        <f t="shared" si="1"/>
        <v>-10,64929004733</v>
      </c>
    </row>
    <row r="24" spans="1:21" x14ac:dyDescent="0.25">
      <c r="A24" s="36" t="s">
        <v>32</v>
      </c>
      <c r="B24" s="36" t="s">
        <v>33</v>
      </c>
      <c r="C24" s="36" t="s">
        <v>34</v>
      </c>
      <c r="D24" s="36" t="s">
        <v>385</v>
      </c>
      <c r="E24" s="36">
        <v>0.65637731481481476</v>
      </c>
      <c r="F24" s="36" t="s">
        <v>385</v>
      </c>
      <c r="G24" s="36">
        <v>0.7336921296296296</v>
      </c>
      <c r="H24" s="36" t="s">
        <v>385</v>
      </c>
      <c r="I24" s="36">
        <v>53</v>
      </c>
      <c r="J24" s="36">
        <v>53</v>
      </c>
      <c r="K24" s="36">
        <v>0</v>
      </c>
      <c r="L24" s="36">
        <v>0</v>
      </c>
      <c r="M24" s="36" t="s">
        <v>367</v>
      </c>
      <c r="N24" s="36" t="s">
        <v>439</v>
      </c>
      <c r="O24" s="36">
        <v>0</v>
      </c>
      <c r="P24" s="36" t="s">
        <v>420</v>
      </c>
      <c r="Q24" s="36" t="s">
        <v>440</v>
      </c>
      <c r="T24" s="64" t="str">
        <f t="shared" si="0"/>
        <v>FWV*P130618671,25</v>
      </c>
      <c r="U24" s="64" t="str">
        <f t="shared" si="1"/>
        <v>40,281296740849</v>
      </c>
    </row>
    <row r="25" spans="1:21" x14ac:dyDescent="0.25">
      <c r="A25" s="36" t="s">
        <v>32</v>
      </c>
      <c r="B25" s="36" t="s">
        <v>33</v>
      </c>
      <c r="C25" s="36" t="s">
        <v>34</v>
      </c>
      <c r="D25" s="36" t="s">
        <v>385</v>
      </c>
      <c r="E25" s="36">
        <v>0.65637731481481476</v>
      </c>
      <c r="F25" s="36" t="s">
        <v>385</v>
      </c>
      <c r="G25" s="36">
        <v>0.7336921296296296</v>
      </c>
      <c r="H25" s="36" t="s">
        <v>385</v>
      </c>
      <c r="I25" s="36">
        <v>53</v>
      </c>
      <c r="J25" s="36">
        <v>53</v>
      </c>
      <c r="K25" s="36">
        <v>0</v>
      </c>
      <c r="L25" s="36">
        <v>0</v>
      </c>
      <c r="M25" s="36" t="s">
        <v>368</v>
      </c>
      <c r="N25" s="36" t="s">
        <v>441</v>
      </c>
      <c r="O25" s="36">
        <v>0</v>
      </c>
      <c r="P25" s="36" t="s">
        <v>442</v>
      </c>
      <c r="Q25" s="36" t="s">
        <v>443</v>
      </c>
      <c r="T25" s="64" t="str">
        <f t="shared" si="0"/>
        <v>FWV*P290618671,7</v>
      </c>
      <c r="U25" s="64" t="str">
        <f t="shared" si="1"/>
        <v>40,696074834923</v>
      </c>
    </row>
    <row r="26" spans="1:21" x14ac:dyDescent="0.25">
      <c r="A26" s="36" t="s">
        <v>32</v>
      </c>
      <c r="B26" s="36" t="s">
        <v>33</v>
      </c>
      <c r="C26" s="36" t="s">
        <v>34</v>
      </c>
      <c r="D26" s="36" t="s">
        <v>385</v>
      </c>
      <c r="E26" s="36">
        <v>0.65637731481481476</v>
      </c>
      <c r="F26" s="36" t="s">
        <v>385</v>
      </c>
      <c r="G26" s="36">
        <v>0.7336921296296296</v>
      </c>
      <c r="H26" s="36" t="s">
        <v>385</v>
      </c>
      <c r="I26" s="36">
        <v>53</v>
      </c>
      <c r="J26" s="36">
        <v>53</v>
      </c>
      <c r="K26" s="36">
        <v>0</v>
      </c>
      <c r="L26" s="36">
        <v>0</v>
      </c>
      <c r="M26" s="36" t="s">
        <v>368</v>
      </c>
      <c r="N26" s="36" t="s">
        <v>444</v>
      </c>
      <c r="O26" s="36">
        <v>0</v>
      </c>
      <c r="P26" s="36" t="s">
        <v>442</v>
      </c>
      <c r="Q26" s="36" t="s">
        <v>445</v>
      </c>
      <c r="T26" s="64" t="str">
        <f t="shared" si="0"/>
        <v>FWV*P290618635,46</v>
      </c>
      <c r="U26" s="64" t="str">
        <f t="shared" si="1"/>
        <v>4,5705205907685</v>
      </c>
    </row>
    <row r="27" spans="1:21" x14ac:dyDescent="0.25">
      <c r="A27" s="36" t="s">
        <v>32</v>
      </c>
      <c r="B27" s="36" t="s">
        <v>33</v>
      </c>
      <c r="C27" s="36" t="s">
        <v>34</v>
      </c>
      <c r="D27" s="36" t="s">
        <v>385</v>
      </c>
      <c r="E27" s="36">
        <v>0.65637731481481476</v>
      </c>
      <c r="F27" s="36" t="s">
        <v>385</v>
      </c>
      <c r="G27" s="36">
        <v>0.7336921296296296</v>
      </c>
      <c r="H27" s="36" t="s">
        <v>385</v>
      </c>
      <c r="I27" s="36">
        <v>53</v>
      </c>
      <c r="J27" s="36">
        <v>53</v>
      </c>
      <c r="K27" s="36">
        <v>0</v>
      </c>
      <c r="L27" s="36">
        <v>0</v>
      </c>
      <c r="M27" s="36" t="s">
        <v>369</v>
      </c>
      <c r="N27" s="36" t="s">
        <v>446</v>
      </c>
      <c r="O27" s="36">
        <v>0</v>
      </c>
      <c r="P27" s="36" t="s">
        <v>442</v>
      </c>
      <c r="Q27" s="36" t="s">
        <v>447</v>
      </c>
      <c r="T27" s="64" t="str">
        <f t="shared" si="0"/>
        <v>FWC*P290618634,48</v>
      </c>
      <c r="U27" s="64" t="str">
        <f t="shared" si="1"/>
        <v>-3,5936154263294</v>
      </c>
    </row>
    <row r="28" spans="1:21" x14ac:dyDescent="0.25">
      <c r="A28" s="36" t="s">
        <v>32</v>
      </c>
      <c r="B28" s="36" t="s">
        <v>33</v>
      </c>
      <c r="C28" s="36" t="s">
        <v>34</v>
      </c>
      <c r="D28" s="36" t="s">
        <v>385</v>
      </c>
      <c r="E28" s="36">
        <v>0.65637731481481476</v>
      </c>
      <c r="F28" s="36" t="s">
        <v>385</v>
      </c>
      <c r="G28" s="36">
        <v>0.7336921296296296</v>
      </c>
      <c r="H28" s="36" t="s">
        <v>385</v>
      </c>
      <c r="I28" s="36">
        <v>53</v>
      </c>
      <c r="J28" s="36">
        <v>53</v>
      </c>
      <c r="K28" s="36">
        <v>0</v>
      </c>
      <c r="L28" s="36">
        <v>0</v>
      </c>
      <c r="M28" s="36" t="s">
        <v>370</v>
      </c>
      <c r="N28" s="36" t="s">
        <v>448</v>
      </c>
      <c r="O28" s="36">
        <v>0</v>
      </c>
      <c r="P28" s="36" t="s">
        <v>442</v>
      </c>
      <c r="Q28" s="36" t="s">
        <v>449</v>
      </c>
      <c r="T28" s="64" t="str">
        <f t="shared" si="0"/>
        <v>FWV*P030818657,38</v>
      </c>
      <c r="U28" s="64" t="str">
        <f t="shared" si="1"/>
        <v>26,350952332663</v>
      </c>
    </row>
    <row r="29" spans="1:21" x14ac:dyDescent="0.25">
      <c r="A29" s="36" t="s">
        <v>32</v>
      </c>
      <c r="B29" s="36" t="s">
        <v>33</v>
      </c>
      <c r="C29" s="36" t="s">
        <v>34</v>
      </c>
      <c r="D29" s="36" t="s">
        <v>385</v>
      </c>
      <c r="E29" s="36">
        <v>0.65637731481481476</v>
      </c>
      <c r="F29" s="36" t="s">
        <v>385</v>
      </c>
      <c r="G29" s="36">
        <v>0.7336921296296296</v>
      </c>
      <c r="H29" s="36" t="s">
        <v>385</v>
      </c>
      <c r="I29" s="36">
        <v>53</v>
      </c>
      <c r="J29" s="36">
        <v>53</v>
      </c>
      <c r="K29" s="36">
        <v>0</v>
      </c>
      <c r="L29" s="36">
        <v>0</v>
      </c>
      <c r="M29" s="36" t="s">
        <v>370</v>
      </c>
      <c r="N29" s="36" t="s">
        <v>450</v>
      </c>
      <c r="O29" s="36">
        <v>0</v>
      </c>
      <c r="P29" s="36" t="s">
        <v>442</v>
      </c>
      <c r="Q29" s="36" t="s">
        <v>451</v>
      </c>
      <c r="T29" s="64" t="str">
        <f t="shared" si="0"/>
        <v>FWV*P030818629,25</v>
      </c>
      <c r="U29" s="64" t="str">
        <f t="shared" si="1"/>
        <v>-1,6155554627647</v>
      </c>
    </row>
    <row r="30" spans="1:21" x14ac:dyDescent="0.25">
      <c r="A30" s="36" t="s">
        <v>32</v>
      </c>
      <c r="B30" s="36" t="s">
        <v>33</v>
      </c>
      <c r="C30" s="36" t="s">
        <v>34</v>
      </c>
      <c r="D30" s="36" t="s">
        <v>385</v>
      </c>
      <c r="E30" s="36">
        <v>0.65637731481481476</v>
      </c>
      <c r="F30" s="36" t="s">
        <v>385</v>
      </c>
      <c r="G30" s="36">
        <v>0.7336921296296296</v>
      </c>
      <c r="H30" s="36" t="s">
        <v>385</v>
      </c>
      <c r="I30" s="36">
        <v>53</v>
      </c>
      <c r="J30" s="36">
        <v>53</v>
      </c>
      <c r="K30" s="36">
        <v>0</v>
      </c>
      <c r="L30" s="36">
        <v>0</v>
      </c>
      <c r="M30" s="36" t="s">
        <v>371</v>
      </c>
      <c r="N30" s="36" t="s">
        <v>452</v>
      </c>
      <c r="O30" s="36">
        <v>0</v>
      </c>
      <c r="P30" s="36" t="s">
        <v>453</v>
      </c>
      <c r="Q30" s="36" t="s">
        <v>454</v>
      </c>
      <c r="T30" s="64" t="str">
        <f t="shared" si="0"/>
        <v>FWV*P100818654,7</v>
      </c>
      <c r="U30" s="64" t="str">
        <f t="shared" si="1"/>
        <v>23,668693929275</v>
      </c>
    </row>
    <row r="31" spans="1:21" x14ac:dyDescent="0.25">
      <c r="A31" s="36" t="s">
        <v>32</v>
      </c>
      <c r="B31" s="36" t="s">
        <v>33</v>
      </c>
      <c r="C31" s="36" t="s">
        <v>34</v>
      </c>
      <c r="D31" s="36" t="s">
        <v>385</v>
      </c>
      <c r="E31" s="36">
        <v>0.65637731481481476</v>
      </c>
      <c r="F31" s="36" t="s">
        <v>385</v>
      </c>
      <c r="G31" s="36">
        <v>0.7336921296296296</v>
      </c>
      <c r="H31" s="36" t="s">
        <v>385</v>
      </c>
      <c r="I31" s="36">
        <v>53</v>
      </c>
      <c r="J31" s="36">
        <v>53</v>
      </c>
      <c r="K31" s="36">
        <v>0</v>
      </c>
      <c r="L31" s="36">
        <v>0</v>
      </c>
      <c r="M31" s="36" t="s">
        <v>372</v>
      </c>
      <c r="N31" s="36" t="s">
        <v>455</v>
      </c>
      <c r="O31" s="36">
        <v>0</v>
      </c>
      <c r="P31" s="36" t="s">
        <v>456</v>
      </c>
      <c r="Q31" s="36" t="s">
        <v>457</v>
      </c>
      <c r="T31" s="64" t="str">
        <f t="shared" si="0"/>
        <v>FWV*P140818654,07</v>
      </c>
      <c r="U31" s="64" t="str">
        <f t="shared" si="1"/>
        <v>23,032909833216</v>
      </c>
    </row>
    <row r="32" spans="1:21" x14ac:dyDescent="0.25">
      <c r="A32" s="36" t="s">
        <v>32</v>
      </c>
      <c r="B32" s="36" t="s">
        <v>33</v>
      </c>
      <c r="C32" s="36" t="s">
        <v>34</v>
      </c>
      <c r="D32" s="36" t="s">
        <v>385</v>
      </c>
      <c r="E32" s="36">
        <v>0.65637731481481476</v>
      </c>
      <c r="F32" s="36" t="s">
        <v>385</v>
      </c>
      <c r="G32" s="36">
        <v>0.7336921296296296</v>
      </c>
      <c r="H32" s="36" t="s">
        <v>385</v>
      </c>
      <c r="I32" s="36">
        <v>53</v>
      </c>
      <c r="J32" s="36">
        <v>53</v>
      </c>
      <c r="K32" s="36">
        <v>0</v>
      </c>
      <c r="L32" s="36">
        <v>0</v>
      </c>
      <c r="M32" s="36" t="s">
        <v>373</v>
      </c>
      <c r="N32" s="36" t="s">
        <v>458</v>
      </c>
      <c r="O32" s="36">
        <v>0</v>
      </c>
      <c r="P32" s="36" t="s">
        <v>456</v>
      </c>
      <c r="Q32" s="36" t="s">
        <v>459</v>
      </c>
      <c r="T32" s="64" t="str">
        <f t="shared" si="0"/>
        <v>FWC*P140818635,33</v>
      </c>
      <c r="U32" s="64" t="str">
        <f t="shared" si="1"/>
        <v>-4,4174472777122</v>
      </c>
    </row>
    <row r="33" spans="1:21" x14ac:dyDescent="0.25">
      <c r="A33" s="36" t="s">
        <v>32</v>
      </c>
      <c r="B33" s="36" t="s">
        <v>33</v>
      </c>
      <c r="C33" s="36" t="s">
        <v>34</v>
      </c>
      <c r="D33" s="36" t="s">
        <v>385</v>
      </c>
      <c r="E33" s="36">
        <v>0.65637731481481476</v>
      </c>
      <c r="F33" s="36" t="s">
        <v>385</v>
      </c>
      <c r="G33" s="36">
        <v>0.7336921296296296</v>
      </c>
      <c r="H33" s="36" t="s">
        <v>385</v>
      </c>
      <c r="I33" s="36">
        <v>53</v>
      </c>
      <c r="J33" s="36">
        <v>53</v>
      </c>
      <c r="K33" s="36">
        <v>0</v>
      </c>
      <c r="L33" s="36">
        <v>0</v>
      </c>
      <c r="M33" s="36" t="s">
        <v>374</v>
      </c>
      <c r="N33" s="36" t="s">
        <v>460</v>
      </c>
      <c r="O33" s="36">
        <v>0</v>
      </c>
      <c r="P33" s="36" t="s">
        <v>461</v>
      </c>
      <c r="Q33" s="36" t="s">
        <v>462</v>
      </c>
      <c r="T33" s="64" t="str">
        <f t="shared" si="0"/>
        <v>FWV*P240918604,7</v>
      </c>
      <c r="U33" s="64" t="str">
        <f t="shared" si="1"/>
        <v>-25,985290448297</v>
      </c>
    </row>
    <row r="34" spans="1:21" x14ac:dyDescent="0.25">
      <c r="A34" s="36" t="s">
        <v>32</v>
      </c>
      <c r="B34" s="36" t="s">
        <v>33</v>
      </c>
      <c r="C34" s="36" t="s">
        <v>34</v>
      </c>
      <c r="D34" s="36" t="s">
        <v>385</v>
      </c>
      <c r="E34" s="36">
        <v>0.65637731481481476</v>
      </c>
      <c r="F34" s="36" t="s">
        <v>385</v>
      </c>
      <c r="G34" s="36">
        <v>0.7336921296296296</v>
      </c>
      <c r="H34" s="36" t="s">
        <v>385</v>
      </c>
      <c r="I34" s="36">
        <v>53</v>
      </c>
      <c r="J34" s="36">
        <v>53</v>
      </c>
      <c r="K34" s="36">
        <v>0</v>
      </c>
      <c r="L34" s="36">
        <v>0</v>
      </c>
      <c r="M34" s="36" t="s">
        <v>375</v>
      </c>
      <c r="N34" s="36" t="s">
        <v>463</v>
      </c>
      <c r="O34" s="36">
        <v>0</v>
      </c>
      <c r="P34" s="36" t="s">
        <v>464</v>
      </c>
      <c r="Q34" s="36" t="s">
        <v>465</v>
      </c>
      <c r="T34" s="64" t="str">
        <f t="shared" si="0"/>
        <v>FWV*P031018646,03</v>
      </c>
      <c r="U34" s="64" t="str">
        <f t="shared" si="1"/>
        <v>14,906697097023</v>
      </c>
    </row>
    <row r="35" spans="1:21" x14ac:dyDescent="0.25">
      <c r="A35" s="36" t="s">
        <v>32</v>
      </c>
      <c r="B35" s="36" t="s">
        <v>33</v>
      </c>
      <c r="C35" s="36" t="s">
        <v>34</v>
      </c>
      <c r="D35" s="36" t="s">
        <v>385</v>
      </c>
      <c r="E35" s="36">
        <v>0.65637731481481476</v>
      </c>
      <c r="F35" s="36" t="s">
        <v>385</v>
      </c>
      <c r="G35" s="36">
        <v>0.7336921296296296</v>
      </c>
      <c r="H35" s="36" t="s">
        <v>385</v>
      </c>
      <c r="I35" s="36">
        <v>53</v>
      </c>
      <c r="J35" s="36">
        <v>53</v>
      </c>
      <c r="K35" s="36">
        <v>0</v>
      </c>
      <c r="L35" s="36">
        <v>0</v>
      </c>
      <c r="M35" s="36" t="s">
        <v>376</v>
      </c>
      <c r="N35" s="36" t="s">
        <v>466</v>
      </c>
      <c r="O35" s="36">
        <v>0</v>
      </c>
      <c r="P35" s="36" t="s">
        <v>467</v>
      </c>
      <c r="Q35" s="36" t="s">
        <v>468</v>
      </c>
      <c r="T35" s="64" t="str">
        <f t="shared" si="0"/>
        <v>FWV*P121218642,8</v>
      </c>
      <c r="U35" s="64" t="str">
        <f t="shared" si="1"/>
        <v>11,413059514325</v>
      </c>
    </row>
    <row r="36" spans="1:21" x14ac:dyDescent="0.25">
      <c r="A36" s="36" t="s">
        <v>32</v>
      </c>
      <c r="B36" s="36" t="s">
        <v>33</v>
      </c>
      <c r="C36" s="36" t="s">
        <v>34</v>
      </c>
      <c r="D36" s="36" t="s">
        <v>385</v>
      </c>
      <c r="E36" s="36">
        <v>0.65637731481481476</v>
      </c>
      <c r="F36" s="36" t="s">
        <v>385</v>
      </c>
      <c r="G36" s="36">
        <v>0.7336921296296296</v>
      </c>
      <c r="H36" s="36" t="s">
        <v>385</v>
      </c>
      <c r="I36" s="36">
        <v>53</v>
      </c>
      <c r="J36" s="36">
        <v>53</v>
      </c>
      <c r="K36" s="36">
        <v>0</v>
      </c>
      <c r="L36" s="36">
        <v>0</v>
      </c>
      <c r="M36" s="36" t="s">
        <v>376</v>
      </c>
      <c r="N36" s="36" t="s">
        <v>469</v>
      </c>
      <c r="O36" s="36">
        <v>0</v>
      </c>
      <c r="P36" s="36" t="s">
        <v>467</v>
      </c>
      <c r="Q36" s="36" t="s">
        <v>470</v>
      </c>
      <c r="T36" s="64" t="str">
        <f t="shared" si="0"/>
        <v>FWV*P121218619,7</v>
      </c>
      <c r="U36" s="64" t="str">
        <f t="shared" si="1"/>
        <v>-11,306836623292</v>
      </c>
    </row>
    <row r="37" spans="1:21" x14ac:dyDescent="0.25">
      <c r="A37" s="36" t="s">
        <v>32</v>
      </c>
      <c r="B37" s="36" t="s">
        <v>33</v>
      </c>
      <c r="C37" s="36" t="s">
        <v>34</v>
      </c>
      <c r="D37" s="36" t="s">
        <v>385</v>
      </c>
      <c r="E37" s="36">
        <v>0.65637731481481476</v>
      </c>
      <c r="F37" s="36" t="s">
        <v>385</v>
      </c>
      <c r="G37" s="36">
        <v>0.7336921296296296</v>
      </c>
      <c r="H37" s="36" t="s">
        <v>385</v>
      </c>
      <c r="I37" s="36">
        <v>53</v>
      </c>
      <c r="J37" s="36">
        <v>53</v>
      </c>
      <c r="K37" s="36">
        <v>0</v>
      </c>
      <c r="L37" s="36">
        <v>0</v>
      </c>
      <c r="M37" s="36" t="s">
        <v>376</v>
      </c>
      <c r="N37" s="36" t="s">
        <v>471</v>
      </c>
      <c r="O37" s="36">
        <v>0</v>
      </c>
      <c r="P37" s="36" t="s">
        <v>467</v>
      </c>
      <c r="Q37" s="36" t="s">
        <v>472</v>
      </c>
      <c r="T37" s="64" t="str">
        <f t="shared" si="0"/>
        <v>FWV*P121218598,7</v>
      </c>
      <c r="U37" s="64" t="str">
        <f t="shared" si="1"/>
        <v>-31,96128765749</v>
      </c>
    </row>
    <row r="38" spans="1:21" x14ac:dyDescent="0.25">
      <c r="A38" s="36" t="s">
        <v>32</v>
      </c>
      <c r="B38" s="36" t="s">
        <v>33</v>
      </c>
      <c r="C38" s="36" t="s">
        <v>34</v>
      </c>
      <c r="D38" s="36" t="s">
        <v>385</v>
      </c>
      <c r="E38" s="36">
        <v>0.65637731481481476</v>
      </c>
      <c r="F38" s="36" t="s">
        <v>385</v>
      </c>
      <c r="G38" s="36">
        <v>0.7336921296296296</v>
      </c>
      <c r="H38" s="36" t="s">
        <v>385</v>
      </c>
      <c r="I38" s="36">
        <v>53</v>
      </c>
      <c r="J38" s="36">
        <v>53</v>
      </c>
      <c r="K38" s="36">
        <v>0</v>
      </c>
      <c r="L38" s="36">
        <v>0</v>
      </c>
      <c r="M38" s="36" t="s">
        <v>377</v>
      </c>
      <c r="N38" s="36" t="s">
        <v>473</v>
      </c>
      <c r="O38" s="36">
        <v>0</v>
      </c>
      <c r="P38" s="36" t="s">
        <v>467</v>
      </c>
      <c r="Q38" s="36" t="s">
        <v>474</v>
      </c>
      <c r="T38" s="64" t="str">
        <f t="shared" si="0"/>
        <v>FWC*P121218660,4</v>
      </c>
      <c r="U38" s="64" t="str">
        <f t="shared" si="1"/>
        <v>-28,723456571558</v>
      </c>
    </row>
    <row r="39" spans="1:21" x14ac:dyDescent="0.25">
      <c r="A39" s="36" t="s">
        <v>32</v>
      </c>
      <c r="B39" s="36" t="s">
        <v>33</v>
      </c>
      <c r="C39" s="36" t="s">
        <v>34</v>
      </c>
      <c r="D39" s="36" t="s">
        <v>385</v>
      </c>
      <c r="E39" s="36">
        <v>0.65637731481481476</v>
      </c>
      <c r="F39" s="36" t="s">
        <v>385</v>
      </c>
      <c r="G39" s="36">
        <v>0.7336921296296296</v>
      </c>
      <c r="H39" s="36" t="s">
        <v>385</v>
      </c>
      <c r="I39" s="36">
        <v>53</v>
      </c>
      <c r="J39" s="36">
        <v>53</v>
      </c>
      <c r="K39" s="36">
        <v>0</v>
      </c>
      <c r="L39" s="36">
        <v>0</v>
      </c>
      <c r="M39" s="36" t="s">
        <v>377</v>
      </c>
      <c r="N39" s="36" t="s">
        <v>475</v>
      </c>
      <c r="O39" s="36">
        <v>0</v>
      </c>
      <c r="P39" s="36" t="s">
        <v>467</v>
      </c>
      <c r="Q39" s="36" t="s">
        <v>476</v>
      </c>
      <c r="T39" s="64" t="str">
        <f t="shared" si="0"/>
        <v>FWC*P121218600,75</v>
      </c>
      <c r="U39" s="64" t="str">
        <f t="shared" si="1"/>
        <v>29,945019818438</v>
      </c>
    </row>
    <row r="40" spans="1:21" x14ac:dyDescent="0.25">
      <c r="A40" s="36" t="s">
        <v>32</v>
      </c>
      <c r="B40" s="36" t="s">
        <v>33</v>
      </c>
      <c r="C40" s="36" t="s">
        <v>34</v>
      </c>
      <c r="D40" s="36" t="s">
        <v>385</v>
      </c>
      <c r="E40" s="36">
        <v>0.65637731481481476</v>
      </c>
      <c r="F40" s="36" t="s">
        <v>385</v>
      </c>
      <c r="G40" s="36">
        <v>0.7336921296296296</v>
      </c>
      <c r="H40" s="36" t="s">
        <v>385</v>
      </c>
      <c r="I40" s="36">
        <v>53</v>
      </c>
      <c r="J40" s="36">
        <v>53</v>
      </c>
      <c r="K40" s="36">
        <v>0</v>
      </c>
      <c r="L40" s="36">
        <v>0</v>
      </c>
      <c r="M40" s="36" t="s">
        <v>298</v>
      </c>
      <c r="N40" s="36" t="s">
        <v>409</v>
      </c>
      <c r="O40" s="36">
        <v>0</v>
      </c>
      <c r="P40" s="36" t="s">
        <v>400</v>
      </c>
      <c r="Q40" s="36" t="s">
        <v>410</v>
      </c>
      <c r="T40" s="64" t="str">
        <f t="shared" si="0"/>
        <v>FWV*P050219607,7</v>
      </c>
      <c r="U40" s="64" t="str">
        <f t="shared" si="1"/>
        <v>-23,257505577809</v>
      </c>
    </row>
    <row r="41" spans="1:21" x14ac:dyDescent="0.25">
      <c r="A41" s="36" t="s">
        <v>32</v>
      </c>
      <c r="B41" s="36" t="s">
        <v>33</v>
      </c>
      <c r="C41" s="36" t="s">
        <v>34</v>
      </c>
      <c r="D41" s="36" t="s">
        <v>385</v>
      </c>
      <c r="E41" s="36">
        <v>0.65637731481481476</v>
      </c>
      <c r="F41" s="36" t="s">
        <v>385</v>
      </c>
      <c r="G41" s="36">
        <v>0.7336921296296296</v>
      </c>
      <c r="H41" s="36" t="s">
        <v>385</v>
      </c>
      <c r="I41" s="36">
        <v>53</v>
      </c>
      <c r="J41" s="36">
        <v>53</v>
      </c>
      <c r="K41" s="36">
        <v>0</v>
      </c>
      <c r="L41" s="36">
        <v>0</v>
      </c>
      <c r="M41" s="36" t="s">
        <v>378</v>
      </c>
      <c r="N41" s="36" t="s">
        <v>411</v>
      </c>
      <c r="O41" s="36">
        <v>0</v>
      </c>
      <c r="P41" s="36" t="s">
        <v>477</v>
      </c>
      <c r="Q41" s="36" t="s">
        <v>478</v>
      </c>
      <c r="T41" s="64" t="str">
        <f t="shared" si="0"/>
        <v>FWV*P050519609,4</v>
      </c>
      <c r="U41" s="64" t="str">
        <f t="shared" si="1"/>
        <v>-21,967663351281</v>
      </c>
    </row>
    <row r="42" spans="1:21" x14ac:dyDescent="0.25">
      <c r="A42" s="36" t="s">
        <v>32</v>
      </c>
      <c r="B42" s="36" t="s">
        <v>33</v>
      </c>
      <c r="C42" s="36" t="s">
        <v>34</v>
      </c>
      <c r="D42" s="36" t="s">
        <v>385</v>
      </c>
      <c r="E42" s="36">
        <v>0.65637731481481476</v>
      </c>
      <c r="F42" s="36" t="s">
        <v>385</v>
      </c>
      <c r="G42" s="36">
        <v>0.7336921296296296</v>
      </c>
      <c r="H42" s="36" t="s">
        <v>385</v>
      </c>
      <c r="I42" s="36">
        <v>53</v>
      </c>
      <c r="J42" s="36">
        <v>53</v>
      </c>
      <c r="K42" s="36">
        <v>0</v>
      </c>
      <c r="L42" s="36">
        <v>0</v>
      </c>
      <c r="M42" s="36" t="s">
        <v>298</v>
      </c>
      <c r="N42" s="36" t="s">
        <v>413</v>
      </c>
      <c r="O42" s="36">
        <v>0</v>
      </c>
      <c r="P42" s="36" t="s">
        <v>400</v>
      </c>
      <c r="Q42" s="36" t="s">
        <v>414</v>
      </c>
      <c r="T42" s="64" t="str">
        <f t="shared" si="0"/>
        <v>FWV*P050219606,5</v>
      </c>
      <c r="U42" s="64" t="str">
        <f t="shared" si="1"/>
        <v>-24,43178111504</v>
      </c>
    </row>
    <row r="43" spans="1:21" x14ac:dyDescent="0.25">
      <c r="A43" s="36" t="s">
        <v>32</v>
      </c>
      <c r="B43" s="36" t="s">
        <v>33</v>
      </c>
      <c r="C43" s="36" t="s">
        <v>34</v>
      </c>
      <c r="D43" s="36" t="s">
        <v>385</v>
      </c>
      <c r="E43" s="36">
        <v>0.65637731481481476</v>
      </c>
      <c r="F43" s="36" t="s">
        <v>385</v>
      </c>
      <c r="G43" s="36">
        <v>0.7336921296296296</v>
      </c>
      <c r="H43" s="36" t="s">
        <v>385</v>
      </c>
      <c r="I43" s="36">
        <v>53</v>
      </c>
      <c r="J43" s="36">
        <v>53</v>
      </c>
      <c r="K43" s="36">
        <v>0</v>
      </c>
      <c r="L43" s="36">
        <v>0</v>
      </c>
      <c r="M43" s="36" t="s">
        <v>378</v>
      </c>
      <c r="N43" s="36" t="s">
        <v>415</v>
      </c>
      <c r="O43" s="36">
        <v>0</v>
      </c>
      <c r="P43" s="36" t="s">
        <v>477</v>
      </c>
      <c r="Q43" s="36" t="s">
        <v>479</v>
      </c>
      <c r="T43" s="64" t="str">
        <f t="shared" si="0"/>
        <v>FWV*P050519602,85</v>
      </c>
      <c r="U43" s="64" t="str">
        <f t="shared" si="1"/>
        <v>-28,31978214657</v>
      </c>
    </row>
    <row r="44" spans="1:21" x14ac:dyDescent="0.25">
      <c r="A44" s="36" t="s">
        <v>32</v>
      </c>
      <c r="B44" s="36" t="s">
        <v>33</v>
      </c>
      <c r="C44" s="36" t="s">
        <v>34</v>
      </c>
      <c r="D44" s="36" t="s">
        <v>385</v>
      </c>
      <c r="E44" s="36">
        <v>0.65637731481481476</v>
      </c>
      <c r="F44" s="36" t="s">
        <v>385</v>
      </c>
      <c r="G44" s="36">
        <v>0.7336921296296296</v>
      </c>
      <c r="H44" s="36" t="s">
        <v>385</v>
      </c>
      <c r="I44" s="36">
        <v>53</v>
      </c>
      <c r="J44" s="36">
        <v>53</v>
      </c>
      <c r="K44" s="36">
        <v>0</v>
      </c>
      <c r="L44" s="36">
        <v>0</v>
      </c>
      <c r="M44" s="36" t="s">
        <v>379</v>
      </c>
      <c r="N44" s="36" t="s">
        <v>480</v>
      </c>
      <c r="O44" s="36">
        <v>0</v>
      </c>
      <c r="P44" s="36" t="s">
        <v>481</v>
      </c>
      <c r="Q44" s="36" t="s">
        <v>482</v>
      </c>
      <c r="T44" s="64" t="str">
        <f t="shared" si="0"/>
        <v>FWV*P050419603,5</v>
      </c>
      <c r="U44" s="64" t="str">
        <f t="shared" si="1"/>
        <v>-27,564953131019</v>
      </c>
    </row>
    <row r="45" spans="1:21" x14ac:dyDescent="0.25">
      <c r="A45" s="36" t="s">
        <v>32</v>
      </c>
      <c r="B45" s="36" t="s">
        <v>33</v>
      </c>
      <c r="C45" s="36" t="s">
        <v>34</v>
      </c>
      <c r="D45" s="36" t="s">
        <v>385</v>
      </c>
      <c r="E45" s="36">
        <v>0.65637731481481476</v>
      </c>
      <c r="F45" s="36" t="s">
        <v>385</v>
      </c>
      <c r="G45" s="36">
        <v>0.7336921296296296</v>
      </c>
      <c r="H45" s="36" t="s">
        <v>385</v>
      </c>
      <c r="I45" s="36">
        <v>53</v>
      </c>
      <c r="J45" s="36">
        <v>53</v>
      </c>
      <c r="K45" s="36">
        <v>0</v>
      </c>
      <c r="L45" s="36">
        <v>0</v>
      </c>
      <c r="M45" s="36" t="s">
        <v>298</v>
      </c>
      <c r="N45" s="36" t="s">
        <v>411</v>
      </c>
      <c r="O45" s="36">
        <v>0</v>
      </c>
      <c r="P45" s="36" t="s">
        <v>400</v>
      </c>
      <c r="Q45" s="36" t="s">
        <v>412</v>
      </c>
      <c r="T45" s="64" t="str">
        <f t="shared" si="0"/>
        <v>FWV*P050219609,4</v>
      </c>
      <c r="U45" s="64" t="str">
        <f t="shared" si="1"/>
        <v>-21,593948566731</v>
      </c>
    </row>
    <row r="46" spans="1:21" x14ac:dyDescent="0.25">
      <c r="A46" s="36" t="s">
        <v>32</v>
      </c>
      <c r="B46" s="36" t="s">
        <v>33</v>
      </c>
      <c r="C46" s="36" t="s">
        <v>34</v>
      </c>
      <c r="D46" s="36" t="s">
        <v>385</v>
      </c>
      <c r="E46" s="36">
        <v>0.65637731481481476</v>
      </c>
      <c r="F46" s="36" t="s">
        <v>385</v>
      </c>
      <c r="G46" s="36">
        <v>0.7336921296296296</v>
      </c>
      <c r="H46" s="36" t="s">
        <v>385</v>
      </c>
      <c r="I46" s="36">
        <v>53</v>
      </c>
      <c r="J46" s="36">
        <v>53</v>
      </c>
      <c r="K46" s="36">
        <v>0</v>
      </c>
      <c r="L46" s="36">
        <v>0</v>
      </c>
      <c r="M46" s="36" t="s">
        <v>298</v>
      </c>
      <c r="N46" s="36" t="s">
        <v>415</v>
      </c>
      <c r="O46" s="36">
        <v>0</v>
      </c>
      <c r="P46" s="36" t="s">
        <v>400</v>
      </c>
      <c r="Q46" s="36" t="s">
        <v>416</v>
      </c>
      <c r="T46" s="64" t="str">
        <f t="shared" si="0"/>
        <v>FWV*P050219602,85</v>
      </c>
      <c r="U46" s="64" t="str">
        <f t="shared" si="1"/>
        <v>-28,003535874118</v>
      </c>
    </row>
    <row r="47" spans="1:21" x14ac:dyDescent="0.25">
      <c r="A47" s="36" t="s">
        <v>32</v>
      </c>
      <c r="B47" s="36" t="s">
        <v>33</v>
      </c>
      <c r="C47" s="36" t="s">
        <v>34</v>
      </c>
      <c r="D47" s="36" t="s">
        <v>385</v>
      </c>
      <c r="E47" s="36">
        <v>0.65637731481481476</v>
      </c>
      <c r="F47" s="36" t="s">
        <v>385</v>
      </c>
      <c r="G47" s="36">
        <v>0.7336921296296296</v>
      </c>
      <c r="H47" s="36" t="s">
        <v>385</v>
      </c>
      <c r="I47" s="36">
        <v>53</v>
      </c>
      <c r="J47" s="36">
        <v>53</v>
      </c>
      <c r="K47" s="36">
        <v>0</v>
      </c>
      <c r="L47" s="36">
        <v>0</v>
      </c>
      <c r="M47" s="36" t="s">
        <v>298</v>
      </c>
      <c r="N47" s="36" t="s">
        <v>399</v>
      </c>
      <c r="O47" s="36">
        <v>0</v>
      </c>
      <c r="P47" s="36" t="s">
        <v>400</v>
      </c>
      <c r="Q47" s="36" t="s">
        <v>483</v>
      </c>
      <c r="T47" s="64" t="str">
        <f t="shared" si="0"/>
        <v>FWV*P050219620,18</v>
      </c>
      <c r="U47" s="64" t="str">
        <f t="shared" si="1"/>
        <v>-11,045039990606</v>
      </c>
    </row>
    <row r="48" spans="1:21" x14ac:dyDescent="0.25">
      <c r="A48" s="36" t="s">
        <v>32</v>
      </c>
      <c r="B48" s="36" t="s">
        <v>33</v>
      </c>
      <c r="C48" s="36" t="s">
        <v>34</v>
      </c>
      <c r="D48" s="36" t="s">
        <v>385</v>
      </c>
      <c r="E48" s="36">
        <v>0.65637731481481476</v>
      </c>
      <c r="F48" s="36" t="s">
        <v>385</v>
      </c>
      <c r="G48" s="36">
        <v>0.7336921296296296</v>
      </c>
      <c r="H48" s="36" t="s">
        <v>385</v>
      </c>
      <c r="I48" s="36">
        <v>53</v>
      </c>
      <c r="J48" s="36">
        <v>53</v>
      </c>
      <c r="K48" s="36">
        <v>0</v>
      </c>
      <c r="L48" s="36">
        <v>0</v>
      </c>
      <c r="M48" s="36" t="s">
        <v>341</v>
      </c>
      <c r="N48" s="36" t="s">
        <v>402</v>
      </c>
      <c r="O48" s="36">
        <v>0</v>
      </c>
      <c r="P48" s="36" t="s">
        <v>403</v>
      </c>
      <c r="Q48" s="36" t="s">
        <v>404</v>
      </c>
      <c r="T48" s="64" t="str">
        <f t="shared" si="0"/>
        <v>FWC*E07061822,7</v>
      </c>
      <c r="U48" s="64" t="str">
        <f t="shared" si="1"/>
        <v>60,113440396138</v>
      </c>
    </row>
    <row r="49" spans="1:21" x14ac:dyDescent="0.25">
      <c r="A49" s="36" t="s">
        <v>32</v>
      </c>
      <c r="B49" s="36" t="s">
        <v>33</v>
      </c>
      <c r="C49" s="36" t="s">
        <v>34</v>
      </c>
      <c r="D49" s="36" t="s">
        <v>385</v>
      </c>
      <c r="E49" s="36">
        <v>0.65637731481481476</v>
      </c>
      <c r="F49" s="36" t="s">
        <v>385</v>
      </c>
      <c r="G49" s="36">
        <v>0.7336921296296296</v>
      </c>
      <c r="H49" s="36" t="s">
        <v>385</v>
      </c>
      <c r="I49" s="36">
        <v>53</v>
      </c>
      <c r="J49" s="36">
        <v>53</v>
      </c>
      <c r="K49" s="36">
        <v>0</v>
      </c>
      <c r="L49" s="36">
        <v>0</v>
      </c>
      <c r="M49" s="36" t="s">
        <v>298</v>
      </c>
      <c r="N49" s="36" t="s">
        <v>417</v>
      </c>
      <c r="O49" s="36">
        <v>0</v>
      </c>
      <c r="P49" s="36" t="s">
        <v>400</v>
      </c>
      <c r="Q49" s="36" t="s">
        <v>418</v>
      </c>
      <c r="T49" s="64" t="str">
        <f t="shared" si="0"/>
        <v>FWV*P050219600,4</v>
      </c>
      <c r="U49" s="64" t="str">
        <f t="shared" si="1"/>
        <v>-30,401015095964</v>
      </c>
    </row>
    <row r="50" spans="1:21" x14ac:dyDescent="0.25">
      <c r="A50" s="36" t="s">
        <v>32</v>
      </c>
      <c r="B50" s="36" t="s">
        <v>33</v>
      </c>
      <c r="C50" s="36" t="s">
        <v>34</v>
      </c>
      <c r="D50" s="36" t="s">
        <v>385</v>
      </c>
      <c r="E50" s="36">
        <v>0.65637731481481476</v>
      </c>
      <c r="F50" s="36" t="s">
        <v>385</v>
      </c>
      <c r="G50" s="36">
        <v>0.7336921296296296</v>
      </c>
      <c r="H50" s="36" t="s">
        <v>385</v>
      </c>
      <c r="I50" s="36">
        <v>53</v>
      </c>
      <c r="J50" s="36">
        <v>53</v>
      </c>
      <c r="K50" s="36">
        <v>0</v>
      </c>
      <c r="L50" s="36">
        <v>0</v>
      </c>
      <c r="M50" s="36" t="s">
        <v>344</v>
      </c>
      <c r="N50" s="36" t="s">
        <v>399</v>
      </c>
      <c r="O50" s="36">
        <v>0</v>
      </c>
      <c r="P50" s="36" t="s">
        <v>400</v>
      </c>
      <c r="Q50" s="36" t="s">
        <v>401</v>
      </c>
      <c r="T50" s="64" t="str">
        <f t="shared" si="0"/>
        <v>FWC*P050219620,18</v>
      </c>
      <c r="U50" s="64" t="str">
        <f t="shared" si="1"/>
        <v>11,045039990606</v>
      </c>
    </row>
    <row r="51" spans="1:21" x14ac:dyDescent="0.25">
      <c r="A51" s="36" t="s">
        <v>32</v>
      </c>
      <c r="B51" s="36" t="s">
        <v>33</v>
      </c>
      <c r="C51" s="36" t="s">
        <v>34</v>
      </c>
      <c r="D51" s="36" t="s">
        <v>385</v>
      </c>
      <c r="E51" s="36">
        <v>0.65637731481481476</v>
      </c>
      <c r="F51" s="36" t="s">
        <v>385</v>
      </c>
      <c r="G51" s="36">
        <v>0.7336921296296296</v>
      </c>
      <c r="H51" s="36" t="s">
        <v>385</v>
      </c>
      <c r="I51" s="36">
        <v>53</v>
      </c>
      <c r="J51" s="36">
        <v>53</v>
      </c>
      <c r="K51" s="36">
        <v>0</v>
      </c>
      <c r="L51" s="36">
        <v>0</v>
      </c>
      <c r="M51" s="36" t="s">
        <v>381</v>
      </c>
      <c r="N51" s="36" t="s">
        <v>484</v>
      </c>
      <c r="O51" s="36">
        <v>0</v>
      </c>
      <c r="P51" s="36" t="s">
        <v>485</v>
      </c>
      <c r="Q51" s="36" t="s">
        <v>486</v>
      </c>
      <c r="T51" s="64" t="str">
        <f t="shared" si="0"/>
        <v>FWC*P310518617,9</v>
      </c>
      <c r="U51" s="64" t="str">
        <f t="shared" si="1"/>
        <v>12,992552707947</v>
      </c>
    </row>
    <row r="52" spans="1:21" x14ac:dyDescent="0.25">
      <c r="A52" s="36" t="s">
        <v>32</v>
      </c>
      <c r="B52" s="36" t="s">
        <v>33</v>
      </c>
      <c r="C52" s="36" t="s">
        <v>34</v>
      </c>
      <c r="D52" s="36" t="s">
        <v>385</v>
      </c>
      <c r="E52" s="36">
        <v>0.65637731481481476</v>
      </c>
      <c r="F52" s="36" t="s">
        <v>385</v>
      </c>
      <c r="G52" s="36">
        <v>0.7336921296296296</v>
      </c>
      <c r="H52" s="36" t="s">
        <v>385</v>
      </c>
      <c r="I52" s="36">
        <v>53</v>
      </c>
      <c r="J52" s="36">
        <v>53</v>
      </c>
      <c r="K52" s="36">
        <v>0</v>
      </c>
      <c r="L52" s="36">
        <v>0</v>
      </c>
      <c r="M52" s="36" t="s">
        <v>383</v>
      </c>
      <c r="N52" s="36" t="s">
        <v>487</v>
      </c>
      <c r="O52" s="36">
        <v>0</v>
      </c>
      <c r="P52" s="36" t="s">
        <v>488</v>
      </c>
      <c r="Q52" s="36" t="s">
        <v>489</v>
      </c>
      <c r="T52" s="64" t="str">
        <f t="shared" si="0"/>
        <v>FWV*P071118620</v>
      </c>
      <c r="U52" s="64" t="str">
        <f t="shared" si="1"/>
        <v>-10,915010111972</v>
      </c>
    </row>
    <row r="53" spans="1:21" x14ac:dyDescent="0.25">
      <c r="A53" s="36" t="s">
        <v>32</v>
      </c>
      <c r="B53" s="36" t="s">
        <v>33</v>
      </c>
      <c r="C53" s="36" t="s">
        <v>34</v>
      </c>
      <c r="D53" s="36" t="s">
        <v>385</v>
      </c>
      <c r="E53" s="36">
        <v>0.65637731481481476</v>
      </c>
      <c r="F53" s="36" t="s">
        <v>385</v>
      </c>
      <c r="G53" s="36">
        <v>0.7336921296296296</v>
      </c>
      <c r="H53" s="36" t="s">
        <v>385</v>
      </c>
      <c r="I53" s="36">
        <v>53</v>
      </c>
      <c r="J53" s="36">
        <v>53</v>
      </c>
      <c r="K53" s="36">
        <v>0</v>
      </c>
      <c r="L53" s="36">
        <v>0</v>
      </c>
      <c r="M53" s="36" t="s">
        <v>384</v>
      </c>
      <c r="N53" s="36" t="s">
        <v>490</v>
      </c>
      <c r="O53" s="36">
        <v>0</v>
      </c>
      <c r="P53" s="36" t="s">
        <v>491</v>
      </c>
      <c r="Q53" s="36" t="s">
        <v>492</v>
      </c>
      <c r="T53" s="64" t="str">
        <f t="shared" si="0"/>
        <v>FWC*P040618624</v>
      </c>
      <c r="U53" s="64" t="str">
        <f t="shared" si="1"/>
        <v>6,8908787734636</v>
      </c>
    </row>
    <row r="54" spans="1:21" x14ac:dyDescent="0.25">
      <c r="A54" s="36" t="s">
        <v>32</v>
      </c>
      <c r="B54" s="36" t="s">
        <v>33</v>
      </c>
      <c r="C54" s="36" t="s">
        <v>34</v>
      </c>
      <c r="D54" s="36" t="s">
        <v>385</v>
      </c>
      <c r="E54" s="36">
        <v>0.65637731481481476</v>
      </c>
      <c r="F54" s="36" t="s">
        <v>385</v>
      </c>
      <c r="G54" s="36">
        <v>0.7336921296296296</v>
      </c>
      <c r="H54" s="36" t="s">
        <v>385</v>
      </c>
      <c r="I54" s="36">
        <v>53</v>
      </c>
      <c r="J54" s="36">
        <v>53</v>
      </c>
      <c r="K54" s="36">
        <v>0</v>
      </c>
      <c r="L54" s="36">
        <v>0</v>
      </c>
      <c r="M54" s="36" t="s">
        <v>376</v>
      </c>
      <c r="N54" s="36" t="s">
        <v>493</v>
      </c>
      <c r="O54" s="36">
        <v>0</v>
      </c>
      <c r="P54" s="36" t="s">
        <v>467</v>
      </c>
      <c r="Q54" s="36" t="s">
        <v>494</v>
      </c>
      <c r="T54" s="64" t="str">
        <f t="shared" si="0"/>
        <v>FWV*P121218630,46</v>
      </c>
      <c r="U54" s="64" t="str">
        <f t="shared" si="1"/>
        <v>-0,72388933148432</v>
      </c>
    </row>
    <row r="55" spans="1:21" x14ac:dyDescent="0.25">
      <c r="T55" s="64" t="str">
        <f t="shared" si="0"/>
        <v/>
      </c>
      <c r="U55" s="64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theme="0" tint="-0.499984740745262"/>
  </sheetPr>
  <dimension ref="A1:U10"/>
  <sheetViews>
    <sheetView topLeftCell="G1" zoomScale="80" zoomScaleNormal="80" workbookViewId="0">
      <selection activeCell="Q24" sqref="Q24"/>
    </sheetView>
  </sheetViews>
  <sheetFormatPr baseColWidth="10" defaultRowHeight="15" x14ac:dyDescent="0.25"/>
  <cols>
    <col min="1" max="2" width="20" style="37" customWidth="1"/>
    <col min="3" max="3" width="17.7109375" style="36" bestFit="1" customWidth="1"/>
    <col min="4" max="16" width="11.42578125" style="36"/>
    <col min="17" max="17" width="18.85546875" style="36" bestFit="1" customWidth="1"/>
    <col min="18" max="19" width="11.42578125" style="36"/>
    <col min="20" max="20" width="23.85546875" style="64" bestFit="1" customWidth="1"/>
    <col min="21" max="21" width="17.7109375" style="64" bestFit="1" customWidth="1"/>
    <col min="22" max="16384" width="11.42578125" style="36"/>
  </cols>
  <sheetData>
    <row r="1" spans="1:21" x14ac:dyDescent="0.25">
      <c r="A1" s="36" t="s">
        <v>15</v>
      </c>
      <c r="B1" s="36" t="s">
        <v>16</v>
      </c>
      <c r="C1" s="36" t="s">
        <v>17</v>
      </c>
      <c r="D1" s="36" t="s">
        <v>18</v>
      </c>
      <c r="E1" s="36" t="s">
        <v>19</v>
      </c>
      <c r="F1" s="36" t="s">
        <v>20</v>
      </c>
      <c r="G1" s="36" t="s">
        <v>21</v>
      </c>
      <c r="H1" s="36" t="s">
        <v>22</v>
      </c>
      <c r="I1" s="36" t="s">
        <v>23</v>
      </c>
      <c r="J1" s="36" t="s">
        <v>24</v>
      </c>
      <c r="K1" s="36" t="s">
        <v>25</v>
      </c>
      <c r="L1" s="36" t="s">
        <v>26</v>
      </c>
      <c r="M1" s="36" t="s">
        <v>27</v>
      </c>
      <c r="N1" s="36" t="s">
        <v>28</v>
      </c>
      <c r="O1" s="36" t="s">
        <v>29</v>
      </c>
      <c r="P1" s="36" t="s">
        <v>30</v>
      </c>
      <c r="Q1" s="36" t="s">
        <v>31</v>
      </c>
    </row>
    <row r="2" spans="1:21" x14ac:dyDescent="0.25">
      <c r="A2" s="37" t="s">
        <v>32</v>
      </c>
      <c r="B2" s="37" t="s">
        <v>33</v>
      </c>
      <c r="C2" s="36" t="s">
        <v>34</v>
      </c>
      <c r="D2" s="36" t="s">
        <v>385</v>
      </c>
      <c r="E2" s="36">
        <v>0.6552662037037037</v>
      </c>
      <c r="F2" s="36" t="s">
        <v>385</v>
      </c>
      <c r="G2" s="36">
        <v>0.65559027777777779</v>
      </c>
      <c r="H2" s="36" t="s">
        <v>385</v>
      </c>
      <c r="I2" s="36">
        <v>5</v>
      </c>
      <c r="J2" s="36">
        <v>5</v>
      </c>
      <c r="K2" s="36">
        <v>0</v>
      </c>
      <c r="L2" s="36">
        <v>0</v>
      </c>
      <c r="M2" s="36" t="s">
        <v>296</v>
      </c>
      <c r="N2" s="36">
        <v>27106</v>
      </c>
      <c r="P2" s="36" t="s">
        <v>386</v>
      </c>
      <c r="Q2" s="36" t="s">
        <v>387</v>
      </c>
      <c r="T2" s="64" t="str">
        <f>+M2&amp;N2</f>
        <v>FWVUP29061827106</v>
      </c>
      <c r="U2" s="64" t="str">
        <f>+Q2</f>
        <v>-33,839795527769</v>
      </c>
    </row>
    <row r="3" spans="1:21" x14ac:dyDescent="0.25">
      <c r="A3" s="37" t="s">
        <v>32</v>
      </c>
      <c r="B3" s="37" t="s">
        <v>33</v>
      </c>
      <c r="C3" s="36" t="s">
        <v>34</v>
      </c>
      <c r="D3" s="36" t="s">
        <v>385</v>
      </c>
      <c r="E3" s="36">
        <v>0.6552662037037037</v>
      </c>
      <c r="F3" s="36" t="s">
        <v>385</v>
      </c>
      <c r="G3" s="36">
        <v>0.65559027777777779</v>
      </c>
      <c r="H3" s="36" t="s">
        <v>385</v>
      </c>
      <c r="I3" s="36">
        <v>5</v>
      </c>
      <c r="J3" s="36">
        <v>5</v>
      </c>
      <c r="K3" s="36">
        <v>0</v>
      </c>
      <c r="L3" s="36">
        <v>0</v>
      </c>
      <c r="M3" s="36" t="s">
        <v>299</v>
      </c>
      <c r="N3" s="36">
        <v>27103</v>
      </c>
      <c r="P3" s="36" t="s">
        <v>346</v>
      </c>
      <c r="Q3" s="36" t="s">
        <v>388</v>
      </c>
      <c r="T3" s="64" t="str">
        <f>+M3&amp;N3</f>
        <v>FWVUP01061827103</v>
      </c>
      <c r="U3" s="64" t="str">
        <f>+Q3</f>
        <v>22,035555224073</v>
      </c>
    </row>
    <row r="4" spans="1:21" x14ac:dyDescent="0.25">
      <c r="A4" s="37" t="s">
        <v>32</v>
      </c>
      <c r="B4" s="37" t="s">
        <v>33</v>
      </c>
      <c r="C4" s="36" t="s">
        <v>34</v>
      </c>
      <c r="D4" s="36" t="s">
        <v>385</v>
      </c>
      <c r="E4" s="36">
        <v>0.6552662037037037</v>
      </c>
      <c r="F4" s="36" t="s">
        <v>385</v>
      </c>
      <c r="G4" s="36">
        <v>0.65559027777777779</v>
      </c>
      <c r="H4" s="36" t="s">
        <v>385</v>
      </c>
      <c r="I4" s="36">
        <v>5</v>
      </c>
      <c r="J4" s="36">
        <v>5</v>
      </c>
      <c r="K4" s="36">
        <v>0</v>
      </c>
      <c r="L4" s="36">
        <v>0</v>
      </c>
      <c r="M4" s="36" t="s">
        <v>299</v>
      </c>
      <c r="N4" s="36">
        <v>27111</v>
      </c>
      <c r="P4" s="36" t="s">
        <v>346</v>
      </c>
      <c r="Q4" s="36" t="s">
        <v>389</v>
      </c>
      <c r="T4" s="64" t="str">
        <f>+M4&amp;N4</f>
        <v>FWVUP01061827111</v>
      </c>
      <c r="U4" s="64" t="str">
        <f>+Q4</f>
        <v>30,02669039146</v>
      </c>
    </row>
    <row r="5" spans="1:21" x14ac:dyDescent="0.25">
      <c r="A5" s="37" t="s">
        <v>32</v>
      </c>
      <c r="B5" s="37" t="s">
        <v>33</v>
      </c>
      <c r="C5" s="36" t="s">
        <v>34</v>
      </c>
      <c r="D5" s="36" t="s">
        <v>385</v>
      </c>
      <c r="E5" s="36">
        <v>0.6552662037037037</v>
      </c>
      <c r="F5" s="36" t="s">
        <v>385</v>
      </c>
      <c r="G5" s="36">
        <v>0.65559027777777779</v>
      </c>
      <c r="H5" s="36" t="s">
        <v>385</v>
      </c>
      <c r="I5" s="36">
        <v>5</v>
      </c>
      <c r="J5" s="36">
        <v>5</v>
      </c>
      <c r="K5" s="36">
        <v>0</v>
      </c>
      <c r="L5" s="36">
        <v>0</v>
      </c>
      <c r="M5" s="36" t="s">
        <v>299</v>
      </c>
      <c r="N5" s="36">
        <v>27104</v>
      </c>
      <c r="P5" s="36" t="s">
        <v>346</v>
      </c>
      <c r="Q5" s="36" t="s">
        <v>390</v>
      </c>
      <c r="T5" s="64" t="str">
        <f>+M5&amp;N5</f>
        <v>FWVUP01061827104</v>
      </c>
      <c r="U5" s="64" t="str">
        <f>+Q5</f>
        <v>23,034447119993</v>
      </c>
    </row>
    <row r="6" spans="1:21" x14ac:dyDescent="0.25">
      <c r="A6" s="37" t="s">
        <v>32</v>
      </c>
      <c r="B6" s="37" t="s">
        <v>33</v>
      </c>
      <c r="C6" s="36" t="s">
        <v>34</v>
      </c>
      <c r="D6" s="36" t="s">
        <v>385</v>
      </c>
      <c r="E6" s="36">
        <v>0.6552662037037037</v>
      </c>
      <c r="F6" s="36" t="s">
        <v>385</v>
      </c>
      <c r="G6" s="36">
        <v>0.65559027777777779</v>
      </c>
      <c r="H6" s="36" t="s">
        <v>385</v>
      </c>
      <c r="I6" s="36">
        <v>5</v>
      </c>
      <c r="J6" s="36">
        <v>5</v>
      </c>
      <c r="K6" s="36">
        <v>0</v>
      </c>
      <c r="L6" s="36">
        <v>0</v>
      </c>
      <c r="M6" s="36" t="s">
        <v>366</v>
      </c>
      <c r="N6" s="36">
        <v>27150</v>
      </c>
      <c r="P6" s="36" t="s">
        <v>391</v>
      </c>
      <c r="Q6" s="36" t="s">
        <v>392</v>
      </c>
      <c r="T6" s="64" t="str">
        <f t="shared" ref="T6:T10" si="0">+M6&amp;N6</f>
        <v>FWVUP03071827150</v>
      </c>
      <c r="U6" s="64" t="str">
        <f t="shared" ref="U6:U10" si="1">+Q6</f>
        <v>2,425578391827</v>
      </c>
    </row>
    <row r="7" spans="1:21" x14ac:dyDescent="0.25">
      <c r="T7" s="64" t="str">
        <f t="shared" si="0"/>
        <v/>
      </c>
      <c r="U7" s="64">
        <f t="shared" si="1"/>
        <v>0</v>
      </c>
    </row>
    <row r="8" spans="1:21" x14ac:dyDescent="0.25">
      <c r="T8" s="64" t="str">
        <f t="shared" si="0"/>
        <v/>
      </c>
      <c r="U8" s="64">
        <f t="shared" si="1"/>
        <v>0</v>
      </c>
    </row>
    <row r="9" spans="1:21" x14ac:dyDescent="0.25">
      <c r="T9" s="64" t="str">
        <f t="shared" si="0"/>
        <v/>
      </c>
      <c r="U9" s="64">
        <f t="shared" si="1"/>
        <v>0</v>
      </c>
    </row>
    <row r="10" spans="1:21" x14ac:dyDescent="0.25">
      <c r="T10" s="64" t="str">
        <f t="shared" si="0"/>
        <v/>
      </c>
      <c r="U10" s="64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3" tint="0.59999389629810485"/>
  </sheetPr>
  <dimension ref="A1:P19"/>
  <sheetViews>
    <sheetView zoomScale="90" zoomScaleNormal="90" workbookViewId="0">
      <selection activeCell="L18" sqref="L18"/>
    </sheetView>
  </sheetViews>
  <sheetFormatPr baseColWidth="10" defaultRowHeight="15" x14ac:dyDescent="0.25"/>
  <cols>
    <col min="1" max="1" width="14.140625" bestFit="1" customWidth="1"/>
    <col min="2" max="2" width="10.28515625" bestFit="1" customWidth="1"/>
    <col min="9" max="9" width="12" bestFit="1" customWidth="1"/>
    <col min="10" max="10" width="11.42578125" style="4"/>
    <col min="11" max="11" width="21" style="4" bestFit="1" customWidth="1"/>
    <col min="12" max="12" width="12.5703125" customWidth="1"/>
    <col min="15" max="15" width="12.140625" bestFit="1" customWidth="1"/>
    <col min="16" max="16" width="14.42578125" bestFit="1" customWidth="1"/>
  </cols>
  <sheetData>
    <row r="1" spans="1:16" s="36" customFormat="1" ht="11.25" customHeight="1" x14ac:dyDescent="0.25">
      <c r="B1" s="45">
        <f ca="1">TODAY()-1</f>
        <v>43237</v>
      </c>
      <c r="C1" s="46" t="s">
        <v>87</v>
      </c>
      <c r="J1" s="4"/>
      <c r="K1" s="4"/>
    </row>
    <row r="2" spans="1:16" s="36" customFormat="1" ht="11.25" customHeight="1" x14ac:dyDescent="0.25">
      <c r="B2" s="45">
        <f ca="1">TODAY()</f>
        <v>43238</v>
      </c>
      <c r="C2" s="46" t="s">
        <v>86</v>
      </c>
      <c r="J2" s="4"/>
      <c r="K2" s="4"/>
    </row>
    <row r="3" spans="1:16" s="36" customFormat="1" ht="11.25" customHeight="1" x14ac:dyDescent="0.25">
      <c r="B3" s="45">
        <f ca="1">TODAY()+1</f>
        <v>43239</v>
      </c>
      <c r="C3" s="46" t="s">
        <v>88</v>
      </c>
      <c r="J3" s="4"/>
      <c r="K3" s="4"/>
    </row>
    <row r="4" spans="1:16" s="36" customFormat="1" ht="15.75" thickBot="1" x14ac:dyDescent="0.3">
      <c r="J4" s="4"/>
      <c r="K4" s="4"/>
    </row>
    <row r="5" spans="1:16" ht="36" x14ac:dyDescent="0.25">
      <c r="B5" s="49" t="s">
        <v>0</v>
      </c>
      <c r="C5" s="49" t="s">
        <v>1</v>
      </c>
      <c r="D5" s="49" t="s">
        <v>2</v>
      </c>
      <c r="E5" s="49" t="s">
        <v>3</v>
      </c>
      <c r="F5" s="49" t="s">
        <v>4</v>
      </c>
      <c r="G5" s="49" t="s">
        <v>5</v>
      </c>
      <c r="H5" s="49" t="s">
        <v>6</v>
      </c>
      <c r="I5" s="49" t="s">
        <v>7</v>
      </c>
      <c r="J5" s="50" t="s">
        <v>8</v>
      </c>
      <c r="K5" s="51" t="s">
        <v>9</v>
      </c>
      <c r="L5" s="52" t="s">
        <v>10</v>
      </c>
    </row>
    <row r="6" spans="1:16" hidden="1" x14ac:dyDescent="0.25">
      <c r="A6" s="5" t="s">
        <v>72</v>
      </c>
      <c r="B6" s="55">
        <v>42683</v>
      </c>
      <c r="C6" s="54" t="s">
        <v>11</v>
      </c>
      <c r="D6" s="55">
        <v>42531</v>
      </c>
      <c r="E6" s="56">
        <f>+F6-D6</f>
        <v>152</v>
      </c>
      <c r="F6" s="61">
        <v>42683</v>
      </c>
      <c r="G6" s="55" t="s">
        <v>13</v>
      </c>
      <c r="H6" s="55" t="s">
        <v>14</v>
      </c>
      <c r="I6" s="58">
        <f>50000*0</f>
        <v>0</v>
      </c>
      <c r="J6" s="59">
        <f>26008+415</f>
        <v>26423</v>
      </c>
      <c r="K6" s="59"/>
      <c r="L6" s="60">
        <f>IF(H6="C",(K6-J6)*I6,IF(H6="V",(J6-K6)*I6,))</f>
        <v>0</v>
      </c>
      <c r="N6" s="3">
        <f>+I6*J6/1000</f>
        <v>0</v>
      </c>
      <c r="O6" s="3">
        <f>+I6*K6/1000</f>
        <v>0</v>
      </c>
    </row>
    <row r="7" spans="1:16" hidden="1" x14ac:dyDescent="0.25">
      <c r="A7" s="36" t="s">
        <v>83</v>
      </c>
      <c r="B7" s="55">
        <v>42591</v>
      </c>
      <c r="C7" s="54" t="s">
        <v>76</v>
      </c>
      <c r="D7" s="55">
        <v>42558</v>
      </c>
      <c r="E7" s="56">
        <f>+F7-D7</f>
        <v>33</v>
      </c>
      <c r="F7" s="61">
        <v>42591</v>
      </c>
      <c r="G7" s="55" t="s">
        <v>13</v>
      </c>
      <c r="H7" s="55" t="s">
        <v>12</v>
      </c>
      <c r="I7" s="58">
        <f>315000*0</f>
        <v>0</v>
      </c>
      <c r="J7" s="59">
        <v>26148</v>
      </c>
      <c r="K7" s="59"/>
      <c r="L7" s="60">
        <f>IF(H7="C",(K7-J7)*I7,IF(H7="V",(J7-K7)*I7,))</f>
        <v>0</v>
      </c>
      <c r="N7" s="3">
        <f>+I7*J7/1000</f>
        <v>0</v>
      </c>
      <c r="O7" s="3">
        <f>+I7*K7/1000</f>
        <v>0</v>
      </c>
    </row>
    <row r="8" spans="1:16" s="36" customFormat="1" hidden="1" x14ac:dyDescent="0.25">
      <c r="A8" s="36" t="s">
        <v>108</v>
      </c>
      <c r="B8" s="55">
        <v>42775</v>
      </c>
      <c r="C8" s="54" t="s">
        <v>11</v>
      </c>
      <c r="D8" s="55">
        <v>42739</v>
      </c>
      <c r="E8" s="56">
        <f>+F8-D8</f>
        <v>36</v>
      </c>
      <c r="F8" s="61">
        <v>42775</v>
      </c>
      <c r="G8" s="55" t="s">
        <v>13</v>
      </c>
      <c r="H8" s="55" t="s">
        <v>12</v>
      </c>
      <c r="I8" s="58">
        <f>195000*0</f>
        <v>0</v>
      </c>
      <c r="J8" s="59">
        <v>26371</v>
      </c>
      <c r="K8" s="59"/>
      <c r="L8" s="60">
        <f>IF(H8="C",(K8-J8)*I8,IF(H8="V",(J8-K8)*I8,))</f>
        <v>0</v>
      </c>
      <c r="N8" s="3">
        <f>+I8*J8/1000</f>
        <v>0</v>
      </c>
      <c r="O8" s="3">
        <f>+I8*K8/1000</f>
        <v>0</v>
      </c>
    </row>
    <row r="9" spans="1:16" s="36" customFormat="1" x14ac:dyDescent="0.25">
      <c r="A9" s="36" t="s">
        <v>319</v>
      </c>
      <c r="B9" s="55">
        <v>43199</v>
      </c>
      <c r="C9" s="54" t="s">
        <v>200</v>
      </c>
      <c r="D9" s="55">
        <v>43158</v>
      </c>
      <c r="E9" s="56">
        <f>+F9-D9</f>
        <v>41</v>
      </c>
      <c r="F9" s="61">
        <v>43199</v>
      </c>
      <c r="G9" s="55" t="s">
        <v>13</v>
      </c>
      <c r="H9" s="55" t="s">
        <v>12</v>
      </c>
      <c r="I9" s="58">
        <v>400000</v>
      </c>
      <c r="J9" s="59">
        <v>27000</v>
      </c>
      <c r="K9" s="59" t="e">
        <f>VLOOKUP(A9,'Inf. RA_$$'!#REF!,4,0)</f>
        <v>#REF!</v>
      </c>
      <c r="L9" s="60" t="e">
        <f>IF(H9="C",(K9-J9)*I9,IF(H9="V",(J9-K9)*I9,))</f>
        <v>#REF!</v>
      </c>
      <c r="N9" s="3">
        <f>+I9*J9/1000</f>
        <v>10800000</v>
      </c>
      <c r="O9" s="3" t="e">
        <f>+I9*K9/1000</f>
        <v>#REF!</v>
      </c>
    </row>
    <row r="10" spans="1:16" hidden="1" x14ac:dyDescent="0.25">
      <c r="A10" s="36" t="s">
        <v>85</v>
      </c>
      <c r="B10" s="55">
        <v>42767</v>
      </c>
      <c r="C10" s="54" t="s">
        <v>11</v>
      </c>
      <c r="D10" s="55">
        <v>42565</v>
      </c>
      <c r="E10" s="56">
        <f>+F10-D10</f>
        <v>202</v>
      </c>
      <c r="F10" s="61">
        <v>42767</v>
      </c>
      <c r="G10" s="55" t="s">
        <v>13</v>
      </c>
      <c r="H10" s="55" t="s">
        <v>14</v>
      </c>
      <c r="I10" s="58"/>
      <c r="J10" s="59">
        <v>26505</v>
      </c>
      <c r="K10" s="59"/>
      <c r="L10" s="60"/>
      <c r="N10" s="3"/>
      <c r="O10" s="3"/>
      <c r="P10" s="3"/>
    </row>
    <row r="11" spans="1:16" x14ac:dyDescent="0.25">
      <c r="N11" s="3"/>
      <c r="O11" s="3"/>
      <c r="P11" s="3">
        <f>+N11-O11</f>
        <v>0</v>
      </c>
    </row>
    <row r="12" spans="1:16" x14ac:dyDescent="0.25">
      <c r="O12" s="3"/>
    </row>
    <row r="13" spans="1:16" x14ac:dyDescent="0.25">
      <c r="O13" s="3"/>
    </row>
    <row r="14" spans="1:16" x14ac:dyDescent="0.25">
      <c r="N14" t="s">
        <v>82</v>
      </c>
      <c r="O14" s="38">
        <f>+L6+L10</f>
        <v>0</v>
      </c>
      <c r="P14" t="s">
        <v>103</v>
      </c>
    </row>
    <row r="15" spans="1:16" x14ac:dyDescent="0.25">
      <c r="J15" s="39" t="e">
        <f>IF(L15&gt;0,"Derecho FWD","Obligación FWD")</f>
        <v>#REF!</v>
      </c>
      <c r="L15" s="35" t="e">
        <f>SUM(L6:L14)</f>
        <v>#REF!</v>
      </c>
      <c r="N15" t="s">
        <v>81</v>
      </c>
      <c r="O15" s="38" t="e">
        <f>+L9</f>
        <v>#REF!</v>
      </c>
      <c r="P15" t="s">
        <v>102</v>
      </c>
    </row>
    <row r="17" spans="10:12" x14ac:dyDescent="0.25">
      <c r="L17" s="19"/>
    </row>
    <row r="18" spans="10:12" x14ac:dyDescent="0.25">
      <c r="J18" s="3" t="s">
        <v>136</v>
      </c>
      <c r="K18" s="210">
        <v>201001001005</v>
      </c>
      <c r="L18" s="19"/>
    </row>
    <row r="19" spans="10:12" x14ac:dyDescent="0.25">
      <c r="J19" s="3" t="s">
        <v>135</v>
      </c>
      <c r="K19" s="210">
        <v>101002003001</v>
      </c>
      <c r="L19" s="19"/>
    </row>
  </sheetData>
  <conditionalFormatting sqref="F1:F5 F11:F1048576">
    <cfRule type="cellIs" dxfId="127" priority="10" operator="equal">
      <formula>TODAY()</formula>
    </cfRule>
  </conditionalFormatting>
  <conditionalFormatting sqref="B1:B3">
    <cfRule type="cellIs" dxfId="126" priority="7" stopIfTrue="1" operator="equal">
      <formula>TODAY()+1</formula>
    </cfRule>
    <cfRule type="cellIs" dxfId="125" priority="8" stopIfTrue="1" operator="equal">
      <formula>TODAY()-1</formula>
    </cfRule>
    <cfRule type="cellIs" dxfId="124" priority="9" stopIfTrue="1" operator="equal">
      <formula>TODAY()</formula>
    </cfRule>
  </conditionalFormatting>
  <conditionalFormatting sqref="F6:F8 F10">
    <cfRule type="cellIs" dxfId="123" priority="4" stopIfTrue="1" operator="equal">
      <formula>TODAY()+1</formula>
    </cfRule>
    <cfRule type="cellIs" dxfId="122" priority="5" stopIfTrue="1" operator="equal">
      <formula>TODAY()-1</formula>
    </cfRule>
    <cfRule type="cellIs" dxfId="121" priority="6" stopIfTrue="1" operator="equal">
      <formula>TODAY()</formula>
    </cfRule>
  </conditionalFormatting>
  <conditionalFormatting sqref="F9">
    <cfRule type="cellIs" dxfId="120" priority="1" stopIfTrue="1" operator="equal">
      <formula>TODAY()+1</formula>
    </cfRule>
    <cfRule type="cellIs" dxfId="119" priority="2" stopIfTrue="1" operator="equal">
      <formula>TODAY()-1</formula>
    </cfRule>
    <cfRule type="cellIs" dxfId="118" priority="3" stopIfTrue="1" operator="equal">
      <formula>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3" tint="0.59999389629810485"/>
  </sheetPr>
  <dimension ref="A1:V98"/>
  <sheetViews>
    <sheetView tabSelected="1" zoomScale="85" zoomScaleNormal="85" workbookViewId="0">
      <selection activeCell="L48" sqref="L48"/>
    </sheetView>
  </sheetViews>
  <sheetFormatPr baseColWidth="10" defaultRowHeight="15" x14ac:dyDescent="0.25"/>
  <cols>
    <col min="1" max="1" width="4.42578125" style="161" customWidth="1"/>
    <col min="2" max="2" width="14.140625" style="161" customWidth="1"/>
    <col min="3" max="3" width="18.28515625" style="161" bestFit="1" customWidth="1"/>
    <col min="4" max="4" width="11.85546875" style="161" bestFit="1" customWidth="1"/>
    <col min="5" max="5" width="13" style="161" bestFit="1" customWidth="1"/>
    <col min="6" max="6" width="6.85546875" style="161" customWidth="1"/>
    <col min="7" max="7" width="13.42578125" style="161" bestFit="1" customWidth="1"/>
    <col min="8" max="8" width="9.140625" style="161" customWidth="1"/>
    <col min="9" max="9" width="11.140625" style="161" bestFit="1" customWidth="1"/>
    <col min="10" max="10" width="13" style="161" bestFit="1" customWidth="1"/>
    <col min="11" max="11" width="12.85546875" style="164" bestFit="1" customWidth="1"/>
    <col min="12" max="12" width="21" style="164" bestFit="1" customWidth="1"/>
    <col min="13" max="13" width="21" style="164" customWidth="1"/>
    <col min="14" max="14" width="19.140625" style="161" hidden="1" customWidth="1"/>
    <col min="15" max="15" width="22.85546875" style="165" customWidth="1"/>
    <col min="16" max="16" width="0.85546875" style="165" customWidth="1"/>
    <col min="17" max="17" width="9" style="161" bestFit="1" customWidth="1"/>
    <col min="18" max="18" width="13.42578125" style="161" customWidth="1"/>
    <col min="19" max="19" width="14.42578125" style="161" customWidth="1"/>
    <col min="20" max="21" width="11.140625" style="161" bestFit="1" customWidth="1"/>
    <col min="22" max="22" width="11.42578125" style="166"/>
    <col min="23" max="16384" width="11.42578125" style="161"/>
  </cols>
  <sheetData>
    <row r="1" spans="2:22" ht="12" customHeight="1" x14ac:dyDescent="0.25">
      <c r="C1" s="162">
        <f ca="1">TODAY()-1</f>
        <v>43237</v>
      </c>
      <c r="D1" s="163" t="s">
        <v>349</v>
      </c>
    </row>
    <row r="2" spans="2:22" ht="12" customHeight="1" x14ac:dyDescent="0.25">
      <c r="C2" s="162">
        <f ca="1">TODAY()</f>
        <v>43238</v>
      </c>
      <c r="D2" s="163" t="s">
        <v>350</v>
      </c>
    </row>
    <row r="3" spans="2:22" ht="12" customHeight="1" x14ac:dyDescent="0.25">
      <c r="C3" s="162">
        <f ca="1">TODAY()+1</f>
        <v>43239</v>
      </c>
      <c r="D3" s="163" t="s">
        <v>351</v>
      </c>
      <c r="S3" s="165"/>
    </row>
    <row r="4" spans="2:22" ht="15.75" thickBot="1" x14ac:dyDescent="0.3">
      <c r="S4" s="167"/>
    </row>
    <row r="5" spans="2:22" ht="24.75" thickBot="1" x14ac:dyDescent="0.3">
      <c r="C5" s="168" t="s">
        <v>352</v>
      </c>
      <c r="D5" s="168" t="s">
        <v>353</v>
      </c>
      <c r="E5" s="168" t="s">
        <v>354</v>
      </c>
      <c r="F5" s="168" t="s">
        <v>3</v>
      </c>
      <c r="G5" s="168" t="s">
        <v>355</v>
      </c>
      <c r="H5" s="168" t="s">
        <v>356</v>
      </c>
      <c r="I5" s="168" t="s">
        <v>357</v>
      </c>
      <c r="J5" s="168" t="s">
        <v>358</v>
      </c>
      <c r="K5" s="168" t="s">
        <v>8</v>
      </c>
      <c r="L5" s="169" t="s">
        <v>9</v>
      </c>
      <c r="M5" s="314" t="s">
        <v>364</v>
      </c>
      <c r="N5" s="170" t="s">
        <v>10</v>
      </c>
      <c r="O5" s="319" t="s">
        <v>363</v>
      </c>
    </row>
    <row r="6" spans="2:22" hidden="1" x14ac:dyDescent="0.25">
      <c r="B6" s="161" t="s">
        <v>359</v>
      </c>
      <c r="C6" s="171">
        <v>42513</v>
      </c>
      <c r="D6" s="172" t="s">
        <v>360</v>
      </c>
      <c r="E6" s="173">
        <v>42480</v>
      </c>
      <c r="F6" s="174">
        <f>+G6-E6</f>
        <v>34</v>
      </c>
      <c r="G6" s="173">
        <v>42514</v>
      </c>
      <c r="H6" s="173" t="s">
        <v>361</v>
      </c>
      <c r="I6" s="173" t="s">
        <v>12</v>
      </c>
      <c r="J6" s="175">
        <f>1705096.93*0</f>
        <v>0</v>
      </c>
      <c r="K6" s="176">
        <v>38.121000000000002</v>
      </c>
      <c r="L6" s="177">
        <f>37.6243045991346*0</f>
        <v>0</v>
      </c>
      <c r="M6" s="177"/>
      <c r="N6" s="178">
        <f>IF(I6="C",(L6-K6)*J6,IF(I6="V",(K6-L6)*J6,))</f>
        <v>0</v>
      </c>
      <c r="Q6" s="179">
        <f>+J6*K6/1000</f>
        <v>0</v>
      </c>
      <c r="R6" s="179">
        <f>+J6*L6/1000</f>
        <v>0</v>
      </c>
      <c r="T6" s="161" t="e">
        <f>+#REF!/#REF!</f>
        <v>#REF!</v>
      </c>
    </row>
    <row r="7" spans="2:22" hidden="1" x14ac:dyDescent="0.25">
      <c r="B7" s="180" t="s">
        <v>36</v>
      </c>
      <c r="C7" s="181">
        <v>42612</v>
      </c>
      <c r="D7" s="182" t="s">
        <v>360</v>
      </c>
      <c r="E7" s="181">
        <v>42488</v>
      </c>
      <c r="F7" s="183">
        <f>+G7-E7</f>
        <v>124</v>
      </c>
      <c r="G7" s="184">
        <v>42612</v>
      </c>
      <c r="H7" s="181" t="s">
        <v>13</v>
      </c>
      <c r="I7" s="181" t="s">
        <v>14</v>
      </c>
      <c r="J7" s="185">
        <f>10000*0</f>
        <v>0</v>
      </c>
      <c r="K7" s="186">
        <f>25891+268</f>
        <v>26159</v>
      </c>
      <c r="L7" s="187"/>
      <c r="M7" s="187"/>
      <c r="N7" s="188">
        <f>IF(I7="C",(L7-K7)*J7,IF(I7="V",(K7-L7)*J7,))</f>
        <v>0</v>
      </c>
      <c r="Q7" s="179">
        <f>+J7*K7/1000</f>
        <v>0</v>
      </c>
      <c r="R7" s="179">
        <f>+J7*L7/1000</f>
        <v>0</v>
      </c>
    </row>
    <row r="8" spans="2:22" hidden="1" x14ac:dyDescent="0.25">
      <c r="C8" s="181">
        <v>42513</v>
      </c>
      <c r="D8" s="182" t="s">
        <v>360</v>
      </c>
      <c r="E8" s="181">
        <v>42509</v>
      </c>
      <c r="F8" s="183">
        <f t="shared" ref="F8:F9" si="0">+G8-E8</f>
        <v>5</v>
      </c>
      <c r="G8" s="184">
        <v>42514</v>
      </c>
      <c r="H8" s="181" t="s">
        <v>361</v>
      </c>
      <c r="I8" s="181" t="s">
        <v>14</v>
      </c>
      <c r="J8" s="185">
        <f>1733333.33*0</f>
        <v>0</v>
      </c>
      <c r="K8" s="186">
        <v>37.5</v>
      </c>
      <c r="L8" s="187">
        <f>37.6243045991346*0</f>
        <v>0</v>
      </c>
      <c r="M8" s="187"/>
      <c r="N8" s="188">
        <f>IF(I8="C",(L8-K8)*J8,IF(I8="V",(K8-L8)*J8,))</f>
        <v>0</v>
      </c>
      <c r="Q8" s="179">
        <f t="shared" ref="Q8:Q13" si="1">+J8*K8/1000</f>
        <v>0</v>
      </c>
      <c r="R8" s="179">
        <f t="shared" ref="R8:R13" si="2">+J8*L8/1000</f>
        <v>0</v>
      </c>
      <c r="T8" s="161" t="e">
        <f>+#REF!/#REF!</f>
        <v>#REF!</v>
      </c>
    </row>
    <row r="9" spans="2:22" hidden="1" x14ac:dyDescent="0.25">
      <c r="C9" s="181">
        <v>42543</v>
      </c>
      <c r="D9" s="182" t="s">
        <v>360</v>
      </c>
      <c r="E9" s="181">
        <v>42509</v>
      </c>
      <c r="F9" s="183">
        <f t="shared" si="0"/>
        <v>35</v>
      </c>
      <c r="G9" s="184">
        <v>42544</v>
      </c>
      <c r="H9" s="181" t="s">
        <v>361</v>
      </c>
      <c r="I9" s="181" t="s">
        <v>12</v>
      </c>
      <c r="J9" s="185">
        <f>1733333.33*0</f>
        <v>0</v>
      </c>
      <c r="K9" s="186">
        <v>37.5</v>
      </c>
      <c r="L9" s="187">
        <v>36.288908905561456</v>
      </c>
      <c r="M9" s="187"/>
      <c r="N9" s="188">
        <f t="shared" ref="N9" si="3">IF(I9="C",(L9-K9)*J9,IF(I9="V",(K9-L9)*J9,))</f>
        <v>0</v>
      </c>
      <c r="Q9" s="179">
        <f t="shared" si="1"/>
        <v>0</v>
      </c>
      <c r="R9" s="179">
        <f t="shared" si="2"/>
        <v>0</v>
      </c>
      <c r="S9" s="167"/>
      <c r="T9" s="161" t="e">
        <f>+#REF!/#REF!</f>
        <v>#REF!</v>
      </c>
    </row>
    <row r="10" spans="2:22" hidden="1" x14ac:dyDescent="0.25">
      <c r="C10" s="181">
        <v>42543</v>
      </c>
      <c r="D10" s="182" t="s">
        <v>360</v>
      </c>
      <c r="E10" s="181">
        <v>42541</v>
      </c>
      <c r="F10" s="183">
        <f t="shared" ref="F10:F11" si="4">+G10-E10</f>
        <v>3</v>
      </c>
      <c r="G10" s="184">
        <v>42544</v>
      </c>
      <c r="H10" s="181" t="s">
        <v>361</v>
      </c>
      <c r="I10" s="181" t="s">
        <v>14</v>
      </c>
      <c r="J10" s="185">
        <f>1782721.86*0</f>
        <v>0</v>
      </c>
      <c r="K10" s="186">
        <v>36.461100000000002</v>
      </c>
      <c r="L10" s="187">
        <v>36.288908905561456</v>
      </c>
      <c r="M10" s="187"/>
      <c r="N10" s="188">
        <f t="shared" ref="N10:N11" si="5">IF(I10="C",(L10-K10)*J10,IF(I10="V",(K10-L10)*J10,))</f>
        <v>0</v>
      </c>
      <c r="Q10" s="179">
        <f t="shared" si="1"/>
        <v>0</v>
      </c>
      <c r="R10" s="179">
        <f t="shared" si="2"/>
        <v>0</v>
      </c>
      <c r="S10" s="167"/>
      <c r="T10" s="161" t="e">
        <f>+#REF!/#REF!</f>
        <v>#REF!</v>
      </c>
    </row>
    <row r="11" spans="2:22" hidden="1" x14ac:dyDescent="0.25">
      <c r="C11" s="181">
        <v>42571</v>
      </c>
      <c r="D11" s="182" t="s">
        <v>360</v>
      </c>
      <c r="E11" s="181">
        <v>42541</v>
      </c>
      <c r="F11" s="183">
        <f t="shared" si="4"/>
        <v>31</v>
      </c>
      <c r="G11" s="184">
        <v>42572</v>
      </c>
      <c r="H11" s="181" t="s">
        <v>361</v>
      </c>
      <c r="I11" s="181" t="s">
        <v>12</v>
      </c>
      <c r="J11" s="185">
        <f>1782721.86*0</f>
        <v>0</v>
      </c>
      <c r="K11" s="186">
        <v>36.4497</v>
      </c>
      <c r="L11" s="187">
        <v>35.128503790942716</v>
      </c>
      <c r="M11" s="187"/>
      <c r="N11" s="188">
        <f t="shared" si="5"/>
        <v>0</v>
      </c>
      <c r="Q11" s="179">
        <f t="shared" si="1"/>
        <v>0</v>
      </c>
      <c r="R11" s="179">
        <f t="shared" si="2"/>
        <v>0</v>
      </c>
      <c r="T11" s="189" t="e">
        <f>+#REF!/#REF!</f>
        <v>#REF!</v>
      </c>
    </row>
    <row r="12" spans="2:22" hidden="1" x14ac:dyDescent="0.25">
      <c r="C12" s="181">
        <v>42571</v>
      </c>
      <c r="D12" s="182" t="s">
        <v>76</v>
      </c>
      <c r="E12" s="181">
        <v>42556</v>
      </c>
      <c r="F12" s="183">
        <f t="shared" ref="F12" si="6">+G12-E12</f>
        <v>16</v>
      </c>
      <c r="G12" s="184">
        <v>42572</v>
      </c>
      <c r="H12" s="181" t="s">
        <v>361</v>
      </c>
      <c r="I12" s="181" t="s">
        <v>14</v>
      </c>
      <c r="J12" s="185">
        <f>1782721.86*0</f>
        <v>0</v>
      </c>
      <c r="K12" s="186">
        <v>35.317100000000003</v>
      </c>
      <c r="L12" s="187">
        <v>35.128503790942716</v>
      </c>
      <c r="M12" s="187"/>
      <c r="N12" s="188">
        <f t="shared" ref="N12" si="7">IF(I12="C",(L12-K12)*J12,IF(I12="V",(K12-L12)*J12,))</f>
        <v>0</v>
      </c>
      <c r="Q12" s="179">
        <f t="shared" si="1"/>
        <v>0</v>
      </c>
      <c r="R12" s="179">
        <f t="shared" si="2"/>
        <v>0</v>
      </c>
      <c r="T12" s="189" t="e">
        <f>+#REF!/#REF!</f>
        <v>#REF!</v>
      </c>
    </row>
    <row r="13" spans="2:22" hidden="1" x14ac:dyDescent="0.25">
      <c r="B13" s="161" t="s">
        <v>83</v>
      </c>
      <c r="C13" s="181">
        <v>42591</v>
      </c>
      <c r="D13" s="182" t="s">
        <v>76</v>
      </c>
      <c r="E13" s="181">
        <v>42558</v>
      </c>
      <c r="F13" s="183">
        <f>+G13-E13</f>
        <v>33</v>
      </c>
      <c r="G13" s="184">
        <v>42591</v>
      </c>
      <c r="H13" s="181" t="s">
        <v>13</v>
      </c>
      <c r="I13" s="181" t="s">
        <v>12</v>
      </c>
      <c r="J13" s="185">
        <f>20000*0</f>
        <v>0</v>
      </c>
      <c r="K13" s="186">
        <v>26148</v>
      </c>
      <c r="L13" s="187"/>
      <c r="M13" s="187"/>
      <c r="N13" s="188">
        <f>IF(I13="C",(L13-K13)*J13,IF(I13="V",(K13-L13)*J13,))</f>
        <v>0</v>
      </c>
      <c r="Q13" s="179">
        <f t="shared" si="1"/>
        <v>0</v>
      </c>
      <c r="R13" s="179">
        <f t="shared" si="2"/>
        <v>0</v>
      </c>
    </row>
    <row r="14" spans="2:22" hidden="1" x14ac:dyDescent="0.25">
      <c r="B14" s="161" t="s">
        <v>108</v>
      </c>
      <c r="C14" s="181">
        <v>42775</v>
      </c>
      <c r="D14" s="182" t="s">
        <v>360</v>
      </c>
      <c r="E14" s="181">
        <v>42739</v>
      </c>
      <c r="F14" s="183">
        <f>+G14-E14</f>
        <v>36</v>
      </c>
      <c r="G14" s="190">
        <v>42775</v>
      </c>
      <c r="H14" s="181" t="s">
        <v>13</v>
      </c>
      <c r="I14" s="181" t="s">
        <v>12</v>
      </c>
      <c r="J14" s="185">
        <f>25000*0</f>
        <v>0</v>
      </c>
      <c r="K14" s="186">
        <v>26371</v>
      </c>
      <c r="L14" s="187"/>
      <c r="M14" s="187"/>
      <c r="N14" s="188">
        <f>IF(I14="C",(L14-K14)*J14,IF(I14="V",(K14-L14)*J14,))</f>
        <v>0</v>
      </c>
      <c r="Q14" s="179"/>
      <c r="R14" s="179"/>
      <c r="T14" s="165" t="e">
        <f ca="1">REDOoDEAR(((J14*K14)/1000),0)</f>
        <v>#NAME?</v>
      </c>
      <c r="U14" s="165" t="e">
        <f ca="1">REDOoDEAR(((J14*L14)/1000),0)</f>
        <v>#NAME?</v>
      </c>
      <c r="V14" s="191"/>
    </row>
    <row r="15" spans="2:22" hidden="1" x14ac:dyDescent="0.25">
      <c r="B15" s="161" t="s">
        <v>85</v>
      </c>
      <c r="C15" s="181">
        <v>42767</v>
      </c>
      <c r="D15" s="182" t="s">
        <v>360</v>
      </c>
      <c r="E15" s="181">
        <v>42565</v>
      </c>
      <c r="F15" s="183">
        <f>+G15-E15</f>
        <v>202</v>
      </c>
      <c r="G15" s="190">
        <v>42767</v>
      </c>
      <c r="H15" s="181" t="s">
        <v>13</v>
      </c>
      <c r="I15" s="181" t="s">
        <v>14</v>
      </c>
      <c r="J15" s="185"/>
      <c r="K15" s="186">
        <v>26505</v>
      </c>
      <c r="L15" s="187" t="e">
        <f>VLOOKUP(B15,[1]Iof!#REF!,4,0)</f>
        <v>#REF!</v>
      </c>
      <c r="M15" s="187"/>
      <c r="N15" s="188"/>
      <c r="Q15" s="179"/>
      <c r="R15" s="179"/>
      <c r="T15" s="165" t="e">
        <f ca="1">REDOoDEAR(((J15*K15)/1000),0)</f>
        <v>#NAME?</v>
      </c>
      <c r="U15" s="165" t="e">
        <f ca="1">REDOoDEAR(((J15*L15)/1000),0)</f>
        <v>#NAME?</v>
      </c>
      <c r="V15" s="191"/>
    </row>
    <row r="16" spans="2:22" ht="15.75" thickBot="1" x14ac:dyDescent="0.3">
      <c r="C16" s="192"/>
      <c r="D16" s="192"/>
      <c r="E16" s="192"/>
      <c r="F16" s="193"/>
      <c r="G16" s="193"/>
      <c r="H16" s="193"/>
      <c r="I16" s="193"/>
      <c r="J16" s="194"/>
      <c r="K16" s="193"/>
      <c r="L16" s="195"/>
      <c r="M16" s="195"/>
      <c r="N16" s="196">
        <f>SUM(O6:O15)</f>
        <v>0</v>
      </c>
      <c r="O16" s="196">
        <f>SUM(P6:P15)</f>
        <v>0</v>
      </c>
      <c r="S16" s="167"/>
      <c r="T16" s="165"/>
      <c r="U16" s="165"/>
    </row>
    <row r="17" spans="1:22" x14ac:dyDescent="0.25">
      <c r="B17" s="166"/>
      <c r="T17" s="165"/>
      <c r="U17" s="165"/>
    </row>
    <row r="18" spans="1:22" ht="15.75" thickBot="1" x14ac:dyDescent="0.3">
      <c r="B18" s="166"/>
      <c r="C18" s="197" t="s">
        <v>80</v>
      </c>
      <c r="K18" s="161"/>
      <c r="L18" s="161"/>
      <c r="M18" s="161"/>
      <c r="T18" s="165"/>
      <c r="U18" s="165"/>
    </row>
    <row r="19" spans="1:22" ht="24.75" thickBot="1" x14ac:dyDescent="0.3">
      <c r="B19" s="166"/>
      <c r="C19" s="168" t="s">
        <v>352</v>
      </c>
      <c r="D19" s="168" t="s">
        <v>353</v>
      </c>
      <c r="E19" s="168" t="s">
        <v>362</v>
      </c>
      <c r="F19" s="168" t="s">
        <v>3</v>
      </c>
      <c r="G19" s="168" t="s">
        <v>355</v>
      </c>
      <c r="H19" s="168" t="s">
        <v>356</v>
      </c>
      <c r="I19" s="168" t="s">
        <v>357</v>
      </c>
      <c r="J19" s="168" t="s">
        <v>358</v>
      </c>
      <c r="K19" s="168" t="s">
        <v>8</v>
      </c>
      <c r="L19" s="169" t="s">
        <v>9</v>
      </c>
      <c r="M19" s="314" t="s">
        <v>364</v>
      </c>
      <c r="N19" s="170" t="s">
        <v>10</v>
      </c>
      <c r="O19" s="319" t="s">
        <v>363</v>
      </c>
      <c r="T19" s="165"/>
      <c r="U19" s="165"/>
    </row>
    <row r="20" spans="1:22" hidden="1" x14ac:dyDescent="0.25">
      <c r="B20" s="166" t="s">
        <v>90</v>
      </c>
      <c r="C20" s="181">
        <v>42984</v>
      </c>
      <c r="D20" s="182" t="s">
        <v>360</v>
      </c>
      <c r="E20" s="181">
        <v>42633</v>
      </c>
      <c r="F20" s="198">
        <f t="shared" ref="F20:F24" si="8">+G20-E20</f>
        <v>352</v>
      </c>
      <c r="G20" s="190">
        <v>42985</v>
      </c>
      <c r="H20" s="181" t="s">
        <v>77</v>
      </c>
      <c r="I20" s="181" t="s">
        <v>12</v>
      </c>
      <c r="J20" s="199">
        <v>165000</v>
      </c>
      <c r="K20" s="186">
        <v>692.69</v>
      </c>
      <c r="L20" s="187"/>
      <c r="M20" s="187"/>
      <c r="N20" s="200">
        <f>IF(I20="C",(L20-K20)*J20,IF(I20="V",(K20-L20)*J20,))*0</f>
        <v>0</v>
      </c>
      <c r="Q20" s="179"/>
      <c r="R20" s="179"/>
      <c r="T20" s="165" t="e">
        <f ca="1">REDOoDEAR(((J20*K20)/1000),0)</f>
        <v>#NAME?</v>
      </c>
      <c r="U20" s="165" t="e">
        <f ca="1">REDOoDEAR(((J20*L20)/1000),0)</f>
        <v>#NAME?</v>
      </c>
      <c r="V20" s="191"/>
    </row>
    <row r="21" spans="1:22" hidden="1" x14ac:dyDescent="0.25">
      <c r="B21" s="166" t="s">
        <v>101</v>
      </c>
      <c r="C21" s="181">
        <v>43000</v>
      </c>
      <c r="D21" s="182" t="s">
        <v>76</v>
      </c>
      <c r="E21" s="181">
        <v>42688</v>
      </c>
      <c r="F21" s="198">
        <f t="shared" si="8"/>
        <v>315</v>
      </c>
      <c r="G21" s="190">
        <v>43003</v>
      </c>
      <c r="H21" s="181" t="s">
        <v>77</v>
      </c>
      <c r="I21" s="181" t="s">
        <v>12</v>
      </c>
      <c r="J21" s="199">
        <v>161000</v>
      </c>
      <c r="K21" s="186">
        <f>668+17.9</f>
        <v>685.9</v>
      </c>
      <c r="L21" s="187" t="e">
        <f>VLOOKUP(B21,[2]Iof!$M:$P,4,0)</f>
        <v>#N/A</v>
      </c>
      <c r="M21" s="187"/>
      <c r="N21" s="200"/>
      <c r="Q21" s="179"/>
      <c r="R21" s="179"/>
      <c r="T21" s="165">
        <f t="shared" ref="T21:T27" si="9">ROUND(((J21*K21)/1000),0)</f>
        <v>110430</v>
      </c>
      <c r="U21" s="165" t="e">
        <f t="shared" ref="U21:U27" si="10">ROUND(((J21*L21)/1000),0)</f>
        <v>#N/A</v>
      </c>
      <c r="V21" s="191"/>
    </row>
    <row r="22" spans="1:22" hidden="1" x14ac:dyDescent="0.25">
      <c r="B22" s="166" t="s">
        <v>121</v>
      </c>
      <c r="C22" s="181">
        <v>42993</v>
      </c>
      <c r="D22" s="182" t="s">
        <v>11</v>
      </c>
      <c r="E22" s="181">
        <v>42961</v>
      </c>
      <c r="F22" s="198">
        <f t="shared" si="8"/>
        <v>32</v>
      </c>
      <c r="G22" s="190">
        <v>42993</v>
      </c>
      <c r="H22" s="181" t="s">
        <v>77</v>
      </c>
      <c r="I22" s="181" t="s">
        <v>12</v>
      </c>
      <c r="J22" s="199">
        <f>1000000*0</f>
        <v>0</v>
      </c>
      <c r="K22" s="186">
        <v>648.5</v>
      </c>
      <c r="L22" s="187"/>
      <c r="M22" s="187"/>
      <c r="N22" s="200">
        <f t="shared" ref="N22:N23" si="11">IF(I22="C",(L22-K22)*J22,IF(I22="V",(K22-L22)*J22,))</f>
        <v>0</v>
      </c>
      <c r="Q22" s="179"/>
      <c r="R22" s="179"/>
      <c r="T22" s="165">
        <f t="shared" ref="T22" si="12">ROUND(((J22*K22)/1000),0)</f>
        <v>0</v>
      </c>
      <c r="U22" s="165">
        <f t="shared" ref="U22" si="13">ROUND(((J22*L22)/1000),0)</f>
        <v>0</v>
      </c>
      <c r="V22" s="191"/>
    </row>
    <row r="23" spans="1:22" hidden="1" x14ac:dyDescent="0.25">
      <c r="B23" s="166" t="s">
        <v>121</v>
      </c>
      <c r="C23" s="181">
        <v>42993</v>
      </c>
      <c r="D23" s="182" t="s">
        <v>11</v>
      </c>
      <c r="E23" s="181">
        <v>42963</v>
      </c>
      <c r="F23" s="198">
        <f t="shared" si="8"/>
        <v>30</v>
      </c>
      <c r="G23" s="190">
        <v>42993</v>
      </c>
      <c r="H23" s="181" t="s">
        <v>77</v>
      </c>
      <c r="I23" s="181" t="s">
        <v>12</v>
      </c>
      <c r="J23" s="199">
        <f>1000000*0</f>
        <v>0</v>
      </c>
      <c r="K23" s="186">
        <v>645</v>
      </c>
      <c r="L23" s="187"/>
      <c r="M23" s="187"/>
      <c r="N23" s="200">
        <f t="shared" si="11"/>
        <v>0</v>
      </c>
      <c r="Q23" s="179"/>
      <c r="R23" s="179"/>
      <c r="T23" s="165">
        <f t="shared" ref="T23" si="14">ROUND(((J23*K23)/1000),0)</f>
        <v>0</v>
      </c>
      <c r="U23" s="165">
        <f t="shared" ref="U23" si="15">ROUND(((J23*L23)/1000),0)</f>
        <v>0</v>
      </c>
      <c r="V23" s="191"/>
    </row>
    <row r="24" spans="1:22" hidden="1" x14ac:dyDescent="0.25">
      <c r="A24" s="161" t="str">
        <f>B24&amp;K24</f>
        <v>FWC*P160518644,35</v>
      </c>
      <c r="B24" s="325" t="s">
        <v>147</v>
      </c>
      <c r="C24" s="181">
        <v>43236</v>
      </c>
      <c r="D24" s="182" t="s">
        <v>76</v>
      </c>
      <c r="E24" s="181">
        <v>42970</v>
      </c>
      <c r="F24" s="198">
        <f t="shared" si="8"/>
        <v>266</v>
      </c>
      <c r="G24" s="190">
        <v>43236</v>
      </c>
      <c r="H24" s="181" t="s">
        <v>77</v>
      </c>
      <c r="I24" s="181" t="s">
        <v>12</v>
      </c>
      <c r="J24" s="199">
        <v>1000000</v>
      </c>
      <c r="K24" s="186">
        <v>644.35</v>
      </c>
      <c r="L24" s="187">
        <f>VLOOKUP(B24,'INf. RA USD'!M:P,4,0)*0</f>
        <v>0</v>
      </c>
      <c r="M24" s="187">
        <f>VLOOKUP(A24,'INf. RA USD'!$T:$U,2,0)*0</f>
        <v>0</v>
      </c>
      <c r="N24" s="200">
        <f t="shared" ref="N24:N25" si="16">IF(I24="C",(L24-K24)*J24,IF(I24="V",(K24-L24)*J24,))</f>
        <v>-644350000</v>
      </c>
      <c r="O24" s="320">
        <f>+J24*M24</f>
        <v>0</v>
      </c>
      <c r="Q24" s="179"/>
      <c r="R24" s="179"/>
      <c r="T24" s="165">
        <f t="shared" ref="T24" si="17">ROUND(((J24*K24)/1000),0)</f>
        <v>644350</v>
      </c>
      <c r="U24" s="165">
        <f t="shared" ref="U24" si="18">ROUND(((J24*L24)/1000),0)</f>
        <v>0</v>
      </c>
      <c r="V24" s="191"/>
    </row>
    <row r="25" spans="1:22" x14ac:dyDescent="0.25">
      <c r="A25" s="161" t="str">
        <f t="shared" ref="A25:A32" si="19">B25&amp;K25</f>
        <v>FWC*P170518641,54</v>
      </c>
      <c r="B25" s="325" t="s">
        <v>149</v>
      </c>
      <c r="C25" s="181">
        <v>43237</v>
      </c>
      <c r="D25" s="182" t="s">
        <v>11</v>
      </c>
      <c r="E25" s="181">
        <v>42971</v>
      </c>
      <c r="F25" s="198">
        <f t="shared" ref="F25" si="20">+G25-E25</f>
        <v>266</v>
      </c>
      <c r="G25" s="190">
        <v>43237</v>
      </c>
      <c r="H25" s="181" t="s">
        <v>77</v>
      </c>
      <c r="I25" s="181" t="s">
        <v>12</v>
      </c>
      <c r="J25" s="199">
        <v>1000000</v>
      </c>
      <c r="K25" s="186">
        <v>641.54</v>
      </c>
      <c r="L25" s="187" t="str">
        <f>VLOOKUP(B25,'INf. RA USD'!M:P,4,0)</f>
        <v>630,89</v>
      </c>
      <c r="M25" s="187" t="str">
        <f>VLOOKUP(A25,'INf. RA USD'!$T:$U,2,0)</f>
        <v>-10,64929004733</v>
      </c>
      <c r="N25" s="200">
        <f t="shared" si="16"/>
        <v>-10649999.999999978</v>
      </c>
      <c r="O25" s="320">
        <f t="shared" ref="O25:O26" si="21">+J25*M25</f>
        <v>-10649290.04733</v>
      </c>
      <c r="Q25" s="179"/>
      <c r="R25" s="179"/>
      <c r="T25" s="165">
        <f t="shared" si="9"/>
        <v>641540</v>
      </c>
      <c r="U25" s="165">
        <f t="shared" si="10"/>
        <v>630890</v>
      </c>
    </row>
    <row r="26" spans="1:22" ht="15.75" thickBot="1" x14ac:dyDescent="0.3">
      <c r="A26" s="161" t="str">
        <f t="shared" si="19"/>
        <v>FWC*P050219620,18</v>
      </c>
      <c r="B26" s="325" t="s">
        <v>344</v>
      </c>
      <c r="C26" s="181">
        <v>43135</v>
      </c>
      <c r="D26" s="182" t="s">
        <v>11</v>
      </c>
      <c r="E26" s="181">
        <v>43223</v>
      </c>
      <c r="F26" s="198">
        <f t="shared" ref="F26" si="22">+G26-E26</f>
        <v>278</v>
      </c>
      <c r="G26" s="190">
        <v>43501</v>
      </c>
      <c r="H26" s="181" t="s">
        <v>77</v>
      </c>
      <c r="I26" s="181" t="s">
        <v>12</v>
      </c>
      <c r="J26" s="199">
        <v>294500</v>
      </c>
      <c r="K26" s="186">
        <v>620.17999999999995</v>
      </c>
      <c r="L26" s="187" t="str">
        <f>VLOOKUP(B26,'INf. RA USD'!M:P,4,0)</f>
        <v>631,467</v>
      </c>
      <c r="M26" s="187" t="str">
        <f>VLOOKUP(A26,'INf. RA USD'!$T:$U,2,0)</f>
        <v>11,045039990606</v>
      </c>
      <c r="N26" s="200">
        <f t="shared" ref="N26" si="23">IF(I26="C",(L26-K26)*J26,IF(I26="V",(K26-L26)*J26,))</f>
        <v>3324021.5000000102</v>
      </c>
      <c r="O26" s="320">
        <f t="shared" si="21"/>
        <v>3252764.277233467</v>
      </c>
      <c r="Q26" s="179"/>
      <c r="R26" s="179"/>
      <c r="T26" s="165">
        <f t="shared" si="9"/>
        <v>182643</v>
      </c>
      <c r="U26" s="165">
        <f t="shared" si="10"/>
        <v>185967</v>
      </c>
      <c r="V26" s="191"/>
    </row>
    <row r="27" spans="1:22" hidden="1" x14ac:dyDescent="0.25">
      <c r="A27" s="161" t="str">
        <f t="shared" si="19"/>
        <v/>
      </c>
      <c r="B27" s="166"/>
      <c r="C27" s="181"/>
      <c r="D27" s="182"/>
      <c r="E27" s="181"/>
      <c r="F27" s="198"/>
      <c r="G27" s="184"/>
      <c r="H27" s="181"/>
      <c r="I27" s="181"/>
      <c r="J27" s="199"/>
      <c r="K27" s="186"/>
      <c r="L27" s="187"/>
      <c r="M27" s="187"/>
      <c r="N27" s="200"/>
      <c r="Q27" s="179"/>
      <c r="R27" s="179"/>
      <c r="T27" s="165">
        <f t="shared" si="9"/>
        <v>0</v>
      </c>
      <c r="U27" s="165">
        <f t="shared" si="10"/>
        <v>0</v>
      </c>
      <c r="V27" s="191"/>
    </row>
    <row r="28" spans="1:22" hidden="1" x14ac:dyDescent="0.25">
      <c r="A28" s="161" t="str">
        <f t="shared" si="19"/>
        <v/>
      </c>
      <c r="B28" s="201"/>
      <c r="C28" s="181"/>
      <c r="D28" s="182"/>
      <c r="E28" s="181"/>
      <c r="F28" s="198"/>
      <c r="G28" s="190"/>
      <c r="H28" s="181"/>
      <c r="I28" s="181"/>
      <c r="J28" s="199"/>
      <c r="K28" s="186"/>
      <c r="L28" s="187"/>
      <c r="M28" s="187"/>
      <c r="N28" s="200"/>
      <c r="Q28" s="202"/>
      <c r="R28" s="179"/>
      <c r="T28" s="165">
        <f t="shared" ref="T28:T30" si="24">ROUND(((J28*K28)/1000),0)</f>
        <v>0</v>
      </c>
      <c r="U28" s="165">
        <f t="shared" ref="U28:U30" si="25">ROUND(((J28*L28)/1000),0)</f>
        <v>0</v>
      </c>
      <c r="V28" s="191"/>
    </row>
    <row r="29" spans="1:22" hidden="1" x14ac:dyDescent="0.25">
      <c r="A29" s="161" t="str">
        <f t="shared" si="19"/>
        <v/>
      </c>
      <c r="B29" s="201"/>
      <c r="C29" s="181"/>
      <c r="D29" s="182"/>
      <c r="E29" s="181"/>
      <c r="F29" s="198"/>
      <c r="G29" s="190"/>
      <c r="H29" s="181"/>
      <c r="I29" s="181"/>
      <c r="J29" s="199"/>
      <c r="K29" s="186"/>
      <c r="L29" s="187"/>
      <c r="M29" s="187"/>
      <c r="N29" s="200"/>
      <c r="Q29" s="203"/>
      <c r="R29" s="179"/>
      <c r="T29" s="165">
        <f t="shared" si="24"/>
        <v>0</v>
      </c>
      <c r="U29" s="165">
        <f t="shared" si="25"/>
        <v>0</v>
      </c>
      <c r="V29" s="191"/>
    </row>
    <row r="30" spans="1:22" hidden="1" x14ac:dyDescent="0.25">
      <c r="A30" s="161" t="str">
        <f t="shared" si="19"/>
        <v/>
      </c>
      <c r="B30" s="201"/>
      <c r="C30" s="181"/>
      <c r="D30" s="182"/>
      <c r="E30" s="181"/>
      <c r="F30" s="198"/>
      <c r="G30" s="190"/>
      <c r="H30" s="181"/>
      <c r="I30" s="181"/>
      <c r="J30" s="199"/>
      <c r="K30" s="186"/>
      <c r="L30" s="187"/>
      <c r="M30" s="187"/>
      <c r="N30" s="200"/>
      <c r="Q30" s="203"/>
      <c r="R30" s="179"/>
      <c r="T30" s="165">
        <f t="shared" si="24"/>
        <v>0</v>
      </c>
      <c r="U30" s="165">
        <f t="shared" si="25"/>
        <v>0</v>
      </c>
      <c r="V30" s="191"/>
    </row>
    <row r="31" spans="1:22" hidden="1" x14ac:dyDescent="0.25">
      <c r="A31" s="161" t="str">
        <f t="shared" si="19"/>
        <v/>
      </c>
      <c r="B31" s="166"/>
      <c r="C31" s="182"/>
      <c r="D31" s="182"/>
      <c r="E31" s="182"/>
      <c r="F31" s="183"/>
      <c r="G31" s="184"/>
      <c r="H31" s="181"/>
      <c r="I31" s="181"/>
      <c r="J31" s="199"/>
      <c r="K31" s="186"/>
      <c r="L31" s="187"/>
      <c r="M31" s="187"/>
      <c r="N31" s="188"/>
      <c r="T31" s="165"/>
      <c r="U31" s="165"/>
    </row>
    <row r="32" spans="1:22" hidden="1" x14ac:dyDescent="0.25">
      <c r="A32" s="161" t="str">
        <f t="shared" si="19"/>
        <v/>
      </c>
      <c r="B32" s="166"/>
      <c r="C32" s="181"/>
      <c r="D32" s="182"/>
      <c r="E32" s="181"/>
      <c r="F32" s="198"/>
      <c r="G32" s="190"/>
      <c r="H32" s="181"/>
      <c r="I32" s="181"/>
      <c r="J32" s="199"/>
      <c r="K32" s="186"/>
      <c r="L32" s="187"/>
      <c r="M32" s="187"/>
      <c r="N32" s="200"/>
      <c r="Q32" s="179"/>
      <c r="R32" s="179"/>
      <c r="T32" s="165"/>
      <c r="U32" s="165"/>
    </row>
    <row r="33" spans="1:22" ht="15.75" thickBot="1" x14ac:dyDescent="0.3">
      <c r="B33" s="166"/>
      <c r="C33" s="192" t="s">
        <v>78</v>
      </c>
      <c r="D33" s="192"/>
      <c r="E33" s="192"/>
      <c r="F33" s="193"/>
      <c r="G33" s="193"/>
      <c r="H33" s="193"/>
      <c r="I33" s="193"/>
      <c r="J33" s="194"/>
      <c r="K33" s="193"/>
      <c r="L33" s="195"/>
      <c r="M33" s="195"/>
      <c r="N33" s="196">
        <f>SUM(N20:N32)</f>
        <v>-651675978.5</v>
      </c>
      <c r="O33" s="316">
        <f>SUM(O20:O32)</f>
        <v>-7396525.770096533</v>
      </c>
      <c r="T33" s="165"/>
      <c r="U33" s="165"/>
    </row>
    <row r="34" spans="1:22" s="166" customFormat="1" x14ac:dyDescent="0.25">
      <c r="C34" s="303"/>
      <c r="D34" s="303"/>
      <c r="E34" s="303"/>
      <c r="F34" s="304"/>
      <c r="G34" s="304"/>
      <c r="H34" s="304"/>
      <c r="I34" s="304"/>
      <c r="J34" s="305"/>
      <c r="K34" s="304"/>
      <c r="L34" s="304"/>
      <c r="M34" s="304"/>
      <c r="N34" s="306"/>
      <c r="O34" s="307"/>
      <c r="P34" s="307"/>
      <c r="T34" s="307"/>
      <c r="U34" s="307"/>
    </row>
    <row r="35" spans="1:22" s="166" customFormat="1" x14ac:dyDescent="0.25">
      <c r="C35" s="303"/>
      <c r="D35" s="303"/>
      <c r="E35" s="303"/>
      <c r="F35" s="304"/>
      <c r="G35" s="304"/>
      <c r="H35" s="304"/>
      <c r="I35" s="304"/>
      <c r="J35" s="305"/>
      <c r="K35" s="304"/>
      <c r="L35" s="304"/>
      <c r="M35" s="304"/>
      <c r="N35" s="306"/>
      <c r="O35" s="307"/>
      <c r="P35" s="307"/>
      <c r="T35" s="307"/>
      <c r="U35" s="307"/>
    </row>
    <row r="36" spans="1:22" ht="15.75" thickBot="1" x14ac:dyDescent="0.3">
      <c r="B36" s="166"/>
      <c r="C36" s="29" t="s">
        <v>340</v>
      </c>
      <c r="K36" s="310" t="s">
        <v>345</v>
      </c>
      <c r="L36" s="311">
        <v>26.66</v>
      </c>
      <c r="M36" s="315"/>
      <c r="T36" s="165"/>
      <c r="U36" s="165"/>
    </row>
    <row r="37" spans="1:22" ht="24.75" thickBot="1" x14ac:dyDescent="0.3">
      <c r="B37" s="166"/>
      <c r="C37" s="168" t="s">
        <v>0</v>
      </c>
      <c r="D37" s="168" t="s">
        <v>1</v>
      </c>
      <c r="E37" s="168" t="s">
        <v>79</v>
      </c>
      <c r="F37" s="168" t="s">
        <v>3</v>
      </c>
      <c r="G37" s="168" t="s">
        <v>4</v>
      </c>
      <c r="H37" s="168" t="s">
        <v>5</v>
      </c>
      <c r="I37" s="168" t="s">
        <v>6</v>
      </c>
      <c r="J37" s="168" t="s">
        <v>7</v>
      </c>
      <c r="K37" s="168" t="s">
        <v>8</v>
      </c>
      <c r="L37" s="169" t="s">
        <v>9</v>
      </c>
      <c r="M37" s="314" t="s">
        <v>364</v>
      </c>
      <c r="N37" s="170" t="s">
        <v>10</v>
      </c>
      <c r="O37" s="319" t="s">
        <v>363</v>
      </c>
      <c r="T37" s="165"/>
      <c r="U37" s="165"/>
    </row>
    <row r="38" spans="1:22" x14ac:dyDescent="0.25">
      <c r="A38" s="161" t="str">
        <f t="shared" ref="A38" si="26">B38&amp;K38</f>
        <v>FWC*E07061822,7</v>
      </c>
      <c r="B38" s="325" t="s">
        <v>341</v>
      </c>
      <c r="C38" s="181">
        <v>43256</v>
      </c>
      <c r="D38" s="54" t="s">
        <v>342</v>
      </c>
      <c r="E38" s="181">
        <v>43223</v>
      </c>
      <c r="F38" s="198">
        <f t="shared" ref="F38" si="27">+G38-E38</f>
        <v>35</v>
      </c>
      <c r="G38" s="190">
        <v>43258</v>
      </c>
      <c r="H38" s="181" t="s">
        <v>77</v>
      </c>
      <c r="I38" s="181" t="s">
        <v>12</v>
      </c>
      <c r="J38" s="199">
        <v>295000</v>
      </c>
      <c r="K38" s="186">
        <v>22.7</v>
      </c>
      <c r="L38" s="187" t="str">
        <f>VLOOKUP(B38,'INf. RA USD'!M:P,4,0)</f>
        <v>25,094</v>
      </c>
      <c r="M38" s="187" t="str">
        <f>VLOOKUP(A38,'INf. RA USD'!$T:$U,2,0)</f>
        <v>60,113440396138</v>
      </c>
      <c r="N38" s="200">
        <f>IF(I38="C",(L38-K38)*J38,IF(I38="V",(K38-L38)*J38,))*L36</f>
        <v>18828091.800000016</v>
      </c>
      <c r="O38" s="320">
        <f>+J38*M38</f>
        <v>17733464.916860711</v>
      </c>
      <c r="Q38" s="179"/>
      <c r="R38" s="179"/>
      <c r="T38" s="165">
        <f>ROUND(((J38*K38)/1000),0)*L36</f>
        <v>178542.02</v>
      </c>
      <c r="U38" s="165">
        <f>ROUND(((J38*L38)/1000),0)*L36</f>
        <v>197363.98</v>
      </c>
      <c r="V38" s="191"/>
    </row>
    <row r="39" spans="1:22" x14ac:dyDescent="0.25">
      <c r="B39" s="166"/>
      <c r="C39" s="181"/>
      <c r="D39" s="182"/>
      <c r="E39" s="181"/>
      <c r="F39" s="198"/>
      <c r="G39" s="190"/>
      <c r="H39" s="181"/>
      <c r="I39" s="181"/>
      <c r="J39" s="199"/>
      <c r="K39" s="186"/>
      <c r="L39" s="187"/>
      <c r="M39" s="187"/>
      <c r="N39" s="200"/>
      <c r="O39" s="320"/>
      <c r="Q39" s="179"/>
      <c r="R39" s="179"/>
      <c r="T39" s="165"/>
      <c r="U39" s="165"/>
      <c r="V39" s="191"/>
    </row>
    <row r="40" spans="1:22" ht="15.75" thickBot="1" x14ac:dyDescent="0.3">
      <c r="B40" s="166"/>
      <c r="C40" s="192" t="s">
        <v>78</v>
      </c>
      <c r="D40" s="192"/>
      <c r="E40" s="192"/>
      <c r="F40" s="193"/>
      <c r="G40" s="193"/>
      <c r="H40" s="193"/>
      <c r="I40" s="193"/>
      <c r="J40" s="194"/>
      <c r="K40" s="193"/>
      <c r="L40" s="195"/>
      <c r="M40" s="318"/>
      <c r="N40" s="196">
        <f>SUM(N38:N38)</f>
        <v>18828091.800000016</v>
      </c>
      <c r="O40" s="196">
        <f>SUM(O38:O38)</f>
        <v>17733464.916860711</v>
      </c>
      <c r="T40" s="165"/>
      <c r="U40" s="165"/>
    </row>
    <row r="41" spans="1:22" s="166" customFormat="1" x14ac:dyDescent="0.25">
      <c r="C41" s="303"/>
      <c r="D41" s="303"/>
      <c r="E41" s="303"/>
      <c r="F41" s="304"/>
      <c r="G41" s="304"/>
      <c r="H41" s="304"/>
      <c r="I41" s="304"/>
      <c r="J41" s="305"/>
      <c r="K41" s="304"/>
      <c r="L41" s="317"/>
      <c r="M41" s="304"/>
      <c r="N41" s="306"/>
      <c r="O41" s="307"/>
      <c r="P41" s="307"/>
      <c r="T41" s="307"/>
      <c r="U41" s="307"/>
    </row>
    <row r="42" spans="1:22" x14ac:dyDescent="0.25">
      <c r="B42" s="166"/>
      <c r="T42" s="165"/>
      <c r="U42" s="165"/>
    </row>
    <row r="43" spans="1:22" ht="15.75" thickBot="1" x14ac:dyDescent="0.3">
      <c r="B43" s="166"/>
      <c r="C43" s="197" t="s">
        <v>84</v>
      </c>
      <c r="K43" s="161"/>
      <c r="L43" s="161"/>
      <c r="M43" s="161"/>
      <c r="R43" s="204"/>
      <c r="T43" s="165"/>
      <c r="U43" s="165"/>
    </row>
    <row r="44" spans="1:22" ht="24.75" thickBot="1" x14ac:dyDescent="0.3">
      <c r="B44" s="166"/>
      <c r="C44" s="168" t="s">
        <v>0</v>
      </c>
      <c r="D44" s="168" t="s">
        <v>1</v>
      </c>
      <c r="E44" s="168" t="s">
        <v>79</v>
      </c>
      <c r="F44" s="168" t="s">
        <v>3</v>
      </c>
      <c r="G44" s="168" t="s">
        <v>4</v>
      </c>
      <c r="H44" s="168" t="s">
        <v>5</v>
      </c>
      <c r="I44" s="168" t="s">
        <v>6</v>
      </c>
      <c r="J44" s="168" t="s">
        <v>7</v>
      </c>
      <c r="K44" s="168" t="s">
        <v>8</v>
      </c>
      <c r="L44" s="169" t="s">
        <v>9</v>
      </c>
      <c r="M44" s="314" t="s">
        <v>364</v>
      </c>
      <c r="N44" s="170" t="s">
        <v>10</v>
      </c>
      <c r="O44" s="319" t="s">
        <v>363</v>
      </c>
      <c r="R44" s="204"/>
      <c r="T44" s="165"/>
      <c r="U44" s="165"/>
    </row>
    <row r="45" spans="1:22" ht="3" customHeight="1" x14ac:dyDescent="0.25">
      <c r="B45" s="166" t="s">
        <v>89</v>
      </c>
      <c r="C45" s="181">
        <v>42984</v>
      </c>
      <c r="D45" s="182" t="s">
        <v>11</v>
      </c>
      <c r="E45" s="181">
        <v>42619</v>
      </c>
      <c r="F45" s="198">
        <f t="shared" ref="F45:F49" si="28">+G45-E45</f>
        <v>366</v>
      </c>
      <c r="G45" s="190">
        <v>42985</v>
      </c>
      <c r="H45" s="181" t="s">
        <v>77</v>
      </c>
      <c r="I45" s="181" t="s">
        <v>14</v>
      </c>
      <c r="J45" s="199">
        <v>165000</v>
      </c>
      <c r="K45" s="186">
        <v>682.3</v>
      </c>
      <c r="L45" s="187"/>
      <c r="M45" s="187"/>
      <c r="N45" s="200">
        <f>IF(I45="C",(L45-K45)*J45,IF(I45="V",(K45-L45)*J45,))*0</f>
        <v>0</v>
      </c>
      <c r="R45" s="179">
        <v>-1714350.0000000168</v>
      </c>
      <c r="T45" s="165">
        <f t="shared" ref="T45:T59" si="29">ROUND(((J45*K45)/1000),0)</f>
        <v>112580</v>
      </c>
      <c r="U45" s="165">
        <f t="shared" ref="U45:U58" si="30">ROUND(((J45*L45)/1000),0)</f>
        <v>0</v>
      </c>
      <c r="V45" s="191"/>
    </row>
    <row r="46" spans="1:22" hidden="1" x14ac:dyDescent="0.25">
      <c r="B46" s="166" t="s">
        <v>91</v>
      </c>
      <c r="C46" s="181">
        <v>43000</v>
      </c>
      <c r="D46" s="182" t="s">
        <v>11</v>
      </c>
      <c r="E46" s="181">
        <v>42635</v>
      </c>
      <c r="F46" s="198">
        <f t="shared" si="28"/>
        <v>368</v>
      </c>
      <c r="G46" s="190">
        <v>43003</v>
      </c>
      <c r="H46" s="181" t="s">
        <v>77</v>
      </c>
      <c r="I46" s="181" t="s">
        <v>14</v>
      </c>
      <c r="J46" s="199">
        <v>161000</v>
      </c>
      <c r="K46" s="186">
        <v>677.15</v>
      </c>
      <c r="L46" s="187" t="e">
        <f>VLOOKUP(B46,'INf. RA USD'!$M:$P,4,0)</f>
        <v>#N/A</v>
      </c>
      <c r="M46" s="187"/>
      <c r="N46" s="200"/>
      <c r="R46" s="179"/>
      <c r="T46" s="165">
        <f t="shared" si="29"/>
        <v>109021</v>
      </c>
      <c r="U46" s="165" t="e">
        <f t="shared" si="30"/>
        <v>#N/A</v>
      </c>
      <c r="V46" s="191"/>
    </row>
    <row r="47" spans="1:22" hidden="1" x14ac:dyDescent="0.25">
      <c r="A47" s="161" t="str">
        <f t="shared" ref="A47:A56" si="31">B47&amp;K47</f>
        <v>FWV*P160518652,95</v>
      </c>
      <c r="B47" s="325" t="s">
        <v>122</v>
      </c>
      <c r="C47" s="181">
        <v>43236</v>
      </c>
      <c r="D47" s="182" t="s">
        <v>11</v>
      </c>
      <c r="E47" s="181">
        <v>42961</v>
      </c>
      <c r="F47" s="198">
        <f t="shared" si="28"/>
        <v>275</v>
      </c>
      <c r="G47" s="190">
        <v>43236</v>
      </c>
      <c r="H47" s="181" t="s">
        <v>77</v>
      </c>
      <c r="I47" s="181" t="s">
        <v>14</v>
      </c>
      <c r="J47" s="199">
        <v>1000000</v>
      </c>
      <c r="K47" s="186">
        <v>652.95000000000005</v>
      </c>
      <c r="L47" s="187">
        <f>VLOOKUP(B47,'INf. RA USD'!M:P,4,0)*0</f>
        <v>0</v>
      </c>
      <c r="M47" s="187">
        <f>VLOOKUP(A47,'INf. RA USD'!$T:$U,2,0)*0</f>
        <v>0</v>
      </c>
      <c r="N47" s="200">
        <f t="shared" ref="N47:N48" si="32">IF(I47="C",(L47-K47)*J47,IF(I47="V",(K47-L47)*J47,))</f>
        <v>652950000</v>
      </c>
      <c r="O47" s="320">
        <f t="shared" ref="O47:O56" si="33">+J47*M47</f>
        <v>0</v>
      </c>
      <c r="R47" s="179"/>
      <c r="T47" s="165">
        <f t="shared" ref="T47" si="34">ROUND(((J47*K47)/1000),0)</f>
        <v>652950</v>
      </c>
      <c r="U47" s="165">
        <f t="shared" ref="U47" si="35">ROUND(((J47*L47)/1000),0)</f>
        <v>0</v>
      </c>
      <c r="V47" s="191"/>
    </row>
    <row r="48" spans="1:22" x14ac:dyDescent="0.25">
      <c r="A48" s="161" t="str">
        <f t="shared" si="31"/>
        <v>FWV*P170518649,35</v>
      </c>
      <c r="B48" s="325" t="s">
        <v>129</v>
      </c>
      <c r="C48" s="181">
        <v>43237</v>
      </c>
      <c r="D48" s="182" t="s">
        <v>11</v>
      </c>
      <c r="E48" s="181">
        <v>42963</v>
      </c>
      <c r="F48" s="198">
        <f t="shared" si="28"/>
        <v>274</v>
      </c>
      <c r="G48" s="190">
        <v>43237</v>
      </c>
      <c r="H48" s="181" t="s">
        <v>77</v>
      </c>
      <c r="I48" s="181" t="s">
        <v>14</v>
      </c>
      <c r="J48" s="199">
        <v>1000000</v>
      </c>
      <c r="K48" s="186">
        <v>649.35</v>
      </c>
      <c r="L48" s="187" t="str">
        <f>VLOOKUP(B48,'INf. RA USD'!M:P,4,0)</f>
        <v>630,89</v>
      </c>
      <c r="M48" s="187" t="str">
        <f>VLOOKUP(A48,'INf. RA USD'!$T:$U,2,0)</f>
        <v>18,458769415372</v>
      </c>
      <c r="N48" s="200">
        <f t="shared" si="32"/>
        <v>18460000.000000037</v>
      </c>
      <c r="O48" s="320">
        <f t="shared" si="33"/>
        <v>18458769.415371999</v>
      </c>
      <c r="R48" s="179"/>
      <c r="T48" s="165">
        <f t="shared" ref="T48" si="36">ROUND(((J48*K48)/1000),0)</f>
        <v>649350</v>
      </c>
      <c r="U48" s="165">
        <f t="shared" ref="U48" si="37">ROUND(((J48*L48)/1000),0)</f>
        <v>630890</v>
      </c>
      <c r="V48" s="191"/>
    </row>
    <row r="49" spans="1:22" hidden="1" x14ac:dyDescent="0.25">
      <c r="A49" s="161" t="str">
        <f t="shared" si="31"/>
        <v>FWV*P150917641,5</v>
      </c>
      <c r="B49" s="166" t="s">
        <v>148</v>
      </c>
      <c r="C49" s="181">
        <v>42993</v>
      </c>
      <c r="D49" s="182" t="s">
        <v>76</v>
      </c>
      <c r="E49" s="181">
        <v>42970</v>
      </c>
      <c r="F49" s="198">
        <f t="shared" si="28"/>
        <v>23</v>
      </c>
      <c r="G49" s="190">
        <v>42993</v>
      </c>
      <c r="H49" s="181" t="s">
        <v>77</v>
      </c>
      <c r="I49" s="181" t="s">
        <v>14</v>
      </c>
      <c r="J49" s="199">
        <f>1000000*0</f>
        <v>0</v>
      </c>
      <c r="K49" s="186">
        <v>641.5</v>
      </c>
      <c r="L49" s="187"/>
      <c r="M49" s="187" t="e">
        <f>VLOOKUP(A49,'INf. RA USD'!$T:$U,2,0)</f>
        <v>#N/A</v>
      </c>
      <c r="N49" s="200">
        <f t="shared" ref="N49" si="38">IF(I49="C",(L49-K49)*J49,IF(I49="V",(K49-L49)*J49,))</f>
        <v>0</v>
      </c>
      <c r="O49" s="320" t="e">
        <f t="shared" si="33"/>
        <v>#N/A</v>
      </c>
      <c r="R49" s="179"/>
      <c r="T49" s="165">
        <f t="shared" ref="T49" si="39">ROUND(((J49*K49)/1000),0)</f>
        <v>0</v>
      </c>
      <c r="U49" s="165">
        <f t="shared" ref="U49" si="40">ROUND(((J49*L49)/1000),0)</f>
        <v>0</v>
      </c>
      <c r="V49" s="191"/>
    </row>
    <row r="50" spans="1:22" hidden="1" x14ac:dyDescent="0.25">
      <c r="A50" s="161" t="str">
        <f t="shared" si="31"/>
        <v>FWV*P150917639</v>
      </c>
      <c r="B50" s="166" t="s">
        <v>148</v>
      </c>
      <c r="C50" s="181">
        <v>42993</v>
      </c>
      <c r="D50" s="182" t="s">
        <v>11</v>
      </c>
      <c r="E50" s="181">
        <v>42971</v>
      </c>
      <c r="F50" s="198">
        <f t="shared" ref="F50" si="41">+G50-E50</f>
        <v>22</v>
      </c>
      <c r="G50" s="190">
        <v>42993</v>
      </c>
      <c r="H50" s="181" t="s">
        <v>77</v>
      </c>
      <c r="I50" s="181" t="s">
        <v>14</v>
      </c>
      <c r="J50" s="199">
        <f>1000000*0</f>
        <v>0</v>
      </c>
      <c r="K50" s="186">
        <v>639</v>
      </c>
      <c r="L50" s="187"/>
      <c r="M50" s="187" t="e">
        <f>VLOOKUP(A50,'INf. RA USD'!$T:$U,2,0)</f>
        <v>#N/A</v>
      </c>
      <c r="N50" s="200">
        <f t="shared" ref="N50" si="42">IF(I50="C",(L50-K50)*J50,IF(I50="V",(K50-L50)*J50,))</f>
        <v>0</v>
      </c>
      <c r="O50" s="320" t="e">
        <f t="shared" si="33"/>
        <v>#N/A</v>
      </c>
      <c r="R50" s="179"/>
      <c r="T50" s="165">
        <f t="shared" ref="T50" si="43">ROUND(((J50*K50)/1000),0)</f>
        <v>0</v>
      </c>
      <c r="U50" s="165">
        <f t="shared" ref="U50" si="44">ROUND(((J50*L50)/1000),0)</f>
        <v>0</v>
      </c>
      <c r="V50" s="191"/>
    </row>
    <row r="51" spans="1:22" hidden="1" x14ac:dyDescent="0.25">
      <c r="A51" s="161" t="str">
        <f t="shared" si="31"/>
        <v>FWV*P171117623,48</v>
      </c>
      <c r="B51" s="166" t="s">
        <v>220</v>
      </c>
      <c r="C51" s="181">
        <v>43055</v>
      </c>
      <c r="D51" s="182" t="s">
        <v>11</v>
      </c>
      <c r="E51" s="181">
        <v>43025</v>
      </c>
      <c r="F51" s="198">
        <f>+G51-E51</f>
        <v>31</v>
      </c>
      <c r="G51" s="190">
        <v>43056</v>
      </c>
      <c r="H51" s="181" t="s">
        <v>77</v>
      </c>
      <c r="I51" s="181" t="s">
        <v>14</v>
      </c>
      <c r="J51" s="199">
        <f>80000*0</f>
        <v>0</v>
      </c>
      <c r="K51" s="186">
        <v>623.48</v>
      </c>
      <c r="L51" s="187"/>
      <c r="M51" s="187" t="e">
        <f>VLOOKUP(A51,'INf. RA USD'!$T:$U,2,0)</f>
        <v>#N/A</v>
      </c>
      <c r="N51" s="200"/>
      <c r="O51" s="320" t="e">
        <f t="shared" si="33"/>
        <v>#N/A</v>
      </c>
      <c r="Q51" s="205"/>
      <c r="R51" s="179"/>
      <c r="T51" s="165">
        <f t="shared" ref="T51:T52" si="45">ROUND(((J51*K51)/1000),0)</f>
        <v>0</v>
      </c>
      <c r="U51" s="165">
        <f t="shared" ref="U51:U52" si="46">ROUND(((J51*L51)/1000),0)</f>
        <v>0</v>
      </c>
      <c r="V51" s="191"/>
    </row>
    <row r="52" spans="1:22" x14ac:dyDescent="0.25">
      <c r="A52" s="161" t="str">
        <f t="shared" si="31"/>
        <v>FWV*P050219607,7</v>
      </c>
      <c r="B52" s="325" t="s">
        <v>298</v>
      </c>
      <c r="C52" s="55">
        <v>43500</v>
      </c>
      <c r="D52" s="54" t="s">
        <v>297</v>
      </c>
      <c r="E52" s="181">
        <v>43136</v>
      </c>
      <c r="F52" s="198">
        <f t="shared" ref="F52" si="47">+G52-E52</f>
        <v>365</v>
      </c>
      <c r="G52" s="190">
        <v>43501</v>
      </c>
      <c r="H52" s="181" t="s">
        <v>77</v>
      </c>
      <c r="I52" s="181" t="s">
        <v>14</v>
      </c>
      <c r="J52" s="199">
        <v>100000</v>
      </c>
      <c r="K52" s="186">
        <v>607.70000000000005</v>
      </c>
      <c r="L52" s="187" t="str">
        <f>VLOOKUP(B52,'INf. RA USD'!M:P,4,0)</f>
        <v>631,467</v>
      </c>
      <c r="M52" s="187" t="str">
        <f>VLOOKUP(A52,'INf. RA USD'!$T:$U,2,0)</f>
        <v>-23,257505577809</v>
      </c>
      <c r="N52" s="200">
        <f t="shared" ref="N52" si="48">IF(I52="C",(L52-K52)*J52,IF(I52="V",(K52-L52)*J52,))</f>
        <v>-2376699.9999999939</v>
      </c>
      <c r="O52" s="320">
        <f t="shared" si="33"/>
        <v>-2325750.5577809</v>
      </c>
      <c r="R52" s="179"/>
      <c r="T52" s="165">
        <f t="shared" si="45"/>
        <v>60770</v>
      </c>
      <c r="U52" s="165">
        <f t="shared" si="46"/>
        <v>63147</v>
      </c>
      <c r="V52" s="191"/>
    </row>
    <row r="53" spans="1:22" x14ac:dyDescent="0.25">
      <c r="A53" s="161" t="str">
        <f t="shared" si="31"/>
        <v>FWV*P050219609,4</v>
      </c>
      <c r="B53" s="325" t="s">
        <v>298</v>
      </c>
      <c r="C53" s="181">
        <v>43136</v>
      </c>
      <c r="D53" s="182" t="s">
        <v>11</v>
      </c>
      <c r="E53" s="181">
        <v>43182</v>
      </c>
      <c r="F53" s="198">
        <f t="shared" ref="F53" si="49">+G53-E53</f>
        <v>319</v>
      </c>
      <c r="G53" s="190">
        <v>43501</v>
      </c>
      <c r="H53" s="181" t="s">
        <v>77</v>
      </c>
      <c r="I53" s="181" t="s">
        <v>14</v>
      </c>
      <c r="J53" s="199">
        <v>100000</v>
      </c>
      <c r="K53" s="186">
        <v>609.4</v>
      </c>
      <c r="L53" s="187" t="str">
        <f>VLOOKUP(B53,'INf. RA USD'!M:P,4,0)</f>
        <v>631,467</v>
      </c>
      <c r="M53" s="187" t="str">
        <f>VLOOKUP(A53,'INf. RA USD'!$T:$U,2,0)</f>
        <v>-21,593948566731</v>
      </c>
      <c r="N53" s="200">
        <f t="shared" ref="N53" si="50">IF(I53="C",(L53-K53)*J53,IF(I53="V",(K53-L53)*J53,))</f>
        <v>-2206700.0000000009</v>
      </c>
      <c r="O53" s="320">
        <f t="shared" si="33"/>
        <v>-2159394.8566731</v>
      </c>
      <c r="Q53" s="202"/>
      <c r="R53" s="179"/>
      <c r="T53" s="165">
        <f t="shared" si="29"/>
        <v>60940</v>
      </c>
      <c r="U53" s="165">
        <f t="shared" si="30"/>
        <v>63147</v>
      </c>
    </row>
    <row r="54" spans="1:22" x14ac:dyDescent="0.25">
      <c r="A54" s="161" t="str">
        <f t="shared" si="31"/>
        <v>FWV*P050219606,5</v>
      </c>
      <c r="B54" s="325" t="s">
        <v>298</v>
      </c>
      <c r="C54" s="181">
        <v>43136</v>
      </c>
      <c r="D54" s="54" t="s">
        <v>76</v>
      </c>
      <c r="E54" s="55">
        <v>43186</v>
      </c>
      <c r="F54" s="198">
        <f t="shared" ref="F54" si="51">+G54-E54</f>
        <v>315</v>
      </c>
      <c r="G54" s="190">
        <v>43501</v>
      </c>
      <c r="H54" s="181" t="s">
        <v>77</v>
      </c>
      <c r="I54" s="181" t="s">
        <v>14</v>
      </c>
      <c r="J54" s="199">
        <v>150000</v>
      </c>
      <c r="K54" s="186">
        <v>606.5</v>
      </c>
      <c r="L54" s="187" t="str">
        <f>VLOOKUP(B54,'INf. RA USD'!M:P,4,0)</f>
        <v>631,467</v>
      </c>
      <c r="M54" s="187" t="str">
        <f>VLOOKUP(A54,'INf. RA USD'!$T:$U,2,0)</f>
        <v>-24,43178111504</v>
      </c>
      <c r="N54" s="200">
        <f t="shared" ref="N54" si="52">IF(I54="C",(L54-K54)*J54,IF(I54="V",(K54-L54)*J54,))</f>
        <v>-3745049.9999999977</v>
      </c>
      <c r="O54" s="320">
        <f t="shared" si="33"/>
        <v>-3664767.167256</v>
      </c>
      <c r="Q54" s="202"/>
      <c r="R54" s="179"/>
      <c r="T54" s="165">
        <f t="shared" si="29"/>
        <v>90975</v>
      </c>
      <c r="U54" s="165">
        <f t="shared" si="30"/>
        <v>94720</v>
      </c>
    </row>
    <row r="55" spans="1:22" x14ac:dyDescent="0.25">
      <c r="A55" s="161" t="str">
        <f t="shared" si="31"/>
        <v>FWV*P050219602,85</v>
      </c>
      <c r="B55" s="325" t="s">
        <v>298</v>
      </c>
      <c r="C55" s="181">
        <v>43136</v>
      </c>
      <c r="D55" s="182" t="s">
        <v>11</v>
      </c>
      <c r="E55" s="181">
        <v>43200</v>
      </c>
      <c r="F55" s="198">
        <f t="shared" ref="F55:F56" si="53">+G55-E55</f>
        <v>301</v>
      </c>
      <c r="G55" s="190">
        <v>43501</v>
      </c>
      <c r="H55" s="181" t="s">
        <v>77</v>
      </c>
      <c r="I55" s="181" t="s">
        <v>14</v>
      </c>
      <c r="J55" s="199">
        <v>120000</v>
      </c>
      <c r="K55" s="186">
        <v>602.85</v>
      </c>
      <c r="L55" s="187" t="str">
        <f>VLOOKUP(B55,'INf. RA USD'!M:P,4,0)</f>
        <v>631,467</v>
      </c>
      <c r="M55" s="187" t="str">
        <f>VLOOKUP(A55,'INf. RA USD'!$T:$U,2,0)</f>
        <v>-28,003535874118</v>
      </c>
      <c r="N55" s="200">
        <f t="shared" ref="N55:N56" si="54">IF(I55="C",(L55-K55)*J55,IF(I55="V",(K55-L55)*J55,))</f>
        <v>-3434039.9999999953</v>
      </c>
      <c r="O55" s="320">
        <f t="shared" si="33"/>
        <v>-3360424.30489416</v>
      </c>
      <c r="Q55" s="202"/>
      <c r="R55" s="179"/>
      <c r="T55" s="165">
        <f t="shared" si="29"/>
        <v>72342</v>
      </c>
      <c r="U55" s="165">
        <f t="shared" si="30"/>
        <v>75776</v>
      </c>
    </row>
    <row r="56" spans="1:22" ht="15.75" thickBot="1" x14ac:dyDescent="0.3">
      <c r="A56" s="161" t="str">
        <f t="shared" si="31"/>
        <v>FWV*P050219600,4</v>
      </c>
      <c r="B56" s="325" t="s">
        <v>298</v>
      </c>
      <c r="C56" s="181">
        <v>43136</v>
      </c>
      <c r="D56" s="182" t="s">
        <v>11</v>
      </c>
      <c r="E56" s="181">
        <v>43214</v>
      </c>
      <c r="F56" s="198">
        <f t="shared" si="53"/>
        <v>287</v>
      </c>
      <c r="G56" s="190">
        <v>43501</v>
      </c>
      <c r="H56" s="181" t="s">
        <v>77</v>
      </c>
      <c r="I56" s="181" t="s">
        <v>14</v>
      </c>
      <c r="J56" s="199">
        <v>130000</v>
      </c>
      <c r="K56" s="186">
        <v>600.4</v>
      </c>
      <c r="L56" s="187" t="str">
        <f>VLOOKUP(B56,'INf. RA USD'!M:P,4,0)</f>
        <v>631,467</v>
      </c>
      <c r="M56" s="187" t="str">
        <f>VLOOKUP(A56,'INf. RA USD'!$T:$U,2,0)</f>
        <v>-30,401015095964</v>
      </c>
      <c r="N56" s="200">
        <f t="shared" si="54"/>
        <v>-4038710.0000000009</v>
      </c>
      <c r="O56" s="320">
        <f t="shared" si="33"/>
        <v>-3952131.9624753199</v>
      </c>
      <c r="Q56" s="297"/>
      <c r="R56" s="179"/>
      <c r="T56" s="165">
        <f t="shared" si="29"/>
        <v>78052</v>
      </c>
      <c r="U56" s="165">
        <f t="shared" si="30"/>
        <v>82091</v>
      </c>
      <c r="V56" s="191"/>
    </row>
    <row r="57" spans="1:22" hidden="1" x14ac:dyDescent="0.25">
      <c r="B57" s="201"/>
      <c r="C57" s="181"/>
      <c r="D57" s="182"/>
      <c r="E57" s="181"/>
      <c r="F57" s="198"/>
      <c r="G57" s="184"/>
      <c r="H57" s="181"/>
      <c r="I57" s="181"/>
      <c r="J57" s="199"/>
      <c r="K57" s="186"/>
      <c r="L57" s="187"/>
      <c r="M57" s="187"/>
      <c r="N57" s="200"/>
      <c r="Q57" s="202"/>
      <c r="R57" s="179"/>
      <c r="T57" s="165">
        <f t="shared" si="29"/>
        <v>0</v>
      </c>
      <c r="U57" s="165">
        <f t="shared" si="30"/>
        <v>0</v>
      </c>
      <c r="V57" s="191"/>
    </row>
    <row r="58" spans="1:22" hidden="1" x14ac:dyDescent="0.25">
      <c r="B58" s="166"/>
      <c r="C58" s="181"/>
      <c r="D58" s="182"/>
      <c r="E58" s="181"/>
      <c r="F58" s="198"/>
      <c r="G58" s="184"/>
      <c r="H58" s="181"/>
      <c r="I58" s="181"/>
      <c r="J58" s="199"/>
      <c r="K58" s="186"/>
      <c r="L58" s="187"/>
      <c r="M58" s="187"/>
      <c r="N58" s="200"/>
      <c r="Q58" s="202"/>
      <c r="R58" s="179"/>
      <c r="T58" s="165">
        <f t="shared" si="29"/>
        <v>0</v>
      </c>
      <c r="U58" s="165">
        <f t="shared" si="30"/>
        <v>0</v>
      </c>
      <c r="V58" s="191"/>
    </row>
    <row r="59" spans="1:22" hidden="1" x14ac:dyDescent="0.25">
      <c r="B59" s="166"/>
      <c r="C59" s="181"/>
      <c r="D59" s="182"/>
      <c r="E59" s="181"/>
      <c r="F59" s="198"/>
      <c r="G59" s="184"/>
      <c r="H59" s="181"/>
      <c r="I59" s="181"/>
      <c r="J59" s="199"/>
      <c r="K59" s="186"/>
      <c r="L59" s="187"/>
      <c r="M59" s="187"/>
      <c r="N59" s="200"/>
      <c r="Q59" s="202"/>
      <c r="R59" s="179"/>
      <c r="T59" s="165">
        <f t="shared" si="29"/>
        <v>0</v>
      </c>
      <c r="U59" s="165"/>
      <c r="V59" s="191"/>
    </row>
    <row r="60" spans="1:22" hidden="1" x14ac:dyDescent="0.25">
      <c r="B60" s="166"/>
      <c r="C60" s="181"/>
      <c r="D60" s="182"/>
      <c r="E60" s="181"/>
      <c r="F60" s="198"/>
      <c r="G60" s="184"/>
      <c r="H60" s="181"/>
      <c r="I60" s="181"/>
      <c r="J60" s="199"/>
      <c r="K60" s="186"/>
      <c r="L60" s="187"/>
      <c r="M60" s="187"/>
      <c r="N60" s="200"/>
      <c r="Q60" s="202"/>
      <c r="R60" s="179"/>
      <c r="T60" s="165"/>
      <c r="U60" s="165"/>
      <c r="V60" s="191"/>
    </row>
    <row r="61" spans="1:22" hidden="1" x14ac:dyDescent="0.25">
      <c r="B61" s="166"/>
      <c r="C61" s="182"/>
      <c r="D61" s="182"/>
      <c r="E61" s="182"/>
      <c r="F61" s="183"/>
      <c r="G61" s="184"/>
      <c r="H61" s="181"/>
      <c r="I61" s="181"/>
      <c r="J61" s="199"/>
      <c r="K61" s="186"/>
      <c r="L61" s="187"/>
      <c r="M61" s="187"/>
      <c r="N61" s="188"/>
      <c r="Q61" s="179"/>
      <c r="T61" s="165"/>
      <c r="U61" s="165"/>
    </row>
    <row r="62" spans="1:22" hidden="1" x14ac:dyDescent="0.25">
      <c r="B62" s="166"/>
      <c r="C62" s="181"/>
      <c r="D62" s="182"/>
      <c r="E62" s="181"/>
      <c r="F62" s="198"/>
      <c r="G62" s="190"/>
      <c r="H62" s="181"/>
      <c r="I62" s="181"/>
      <c r="J62" s="199"/>
      <c r="K62" s="186"/>
      <c r="L62" s="187"/>
      <c r="M62" s="187"/>
      <c r="N62" s="200"/>
      <c r="Q62" s="205"/>
      <c r="R62" s="179"/>
      <c r="T62" s="165">
        <f t="shared" ref="T62" si="55">ROUND(((J62*K62)/1000),0)</f>
        <v>0</v>
      </c>
      <c r="U62" s="165">
        <f t="shared" ref="U62" si="56">ROUND(((J62*L62)/1000),0)</f>
        <v>0</v>
      </c>
      <c r="V62" s="191"/>
    </row>
    <row r="63" spans="1:22" ht="15.75" thickBot="1" x14ac:dyDescent="0.3">
      <c r="B63" s="166"/>
      <c r="C63" s="192" t="s">
        <v>78</v>
      </c>
      <c r="D63" s="192"/>
      <c r="E63" s="192"/>
      <c r="F63" s="193"/>
      <c r="G63" s="193"/>
      <c r="H63" s="193"/>
      <c r="I63" s="193"/>
      <c r="J63" s="194"/>
      <c r="K63" s="193"/>
      <c r="L63" s="195"/>
      <c r="M63" s="195"/>
      <c r="N63" s="196">
        <f>SUM(N45:N62)</f>
        <v>655608800</v>
      </c>
      <c r="O63" s="316">
        <f>+O47+O48+O52+O53+O54+O55+O56</f>
        <v>2996300.5662925211</v>
      </c>
      <c r="T63" s="165"/>
      <c r="U63" s="165"/>
    </row>
    <row r="64" spans="1:22" x14ac:dyDescent="0.25">
      <c r="B64" s="166"/>
      <c r="Q64" s="293"/>
      <c r="R64" s="179"/>
      <c r="T64" s="165"/>
      <c r="U64" s="165"/>
    </row>
    <row r="65" spans="2:22" ht="15.75" thickBot="1" x14ac:dyDescent="0.3">
      <c r="B65" s="166"/>
      <c r="C65" s="197" t="s">
        <v>92</v>
      </c>
      <c r="K65" s="161"/>
      <c r="L65" s="161"/>
      <c r="M65" s="161"/>
      <c r="T65" s="165">
        <f>ROUND(((J65*K65)/1000),0)</f>
        <v>0</v>
      </c>
      <c r="U65" s="165">
        <f>ROUND(((J65*L65)/1000),0)</f>
        <v>0</v>
      </c>
    </row>
    <row r="66" spans="2:22" ht="24.75" thickBot="1" x14ac:dyDescent="0.3">
      <c r="B66" s="166"/>
      <c r="C66" s="168" t="s">
        <v>0</v>
      </c>
      <c r="D66" s="168" t="s">
        <v>1</v>
      </c>
      <c r="E66" s="168" t="s">
        <v>79</v>
      </c>
      <c r="F66" s="168" t="s">
        <v>3</v>
      </c>
      <c r="G66" s="168" t="s">
        <v>4</v>
      </c>
      <c r="H66" s="168" t="s">
        <v>5</v>
      </c>
      <c r="I66" s="168" t="s">
        <v>6</v>
      </c>
      <c r="J66" s="168" t="s">
        <v>7</v>
      </c>
      <c r="K66" s="168" t="s">
        <v>8</v>
      </c>
      <c r="L66" s="169" t="s">
        <v>9</v>
      </c>
      <c r="M66" s="314" t="s">
        <v>364</v>
      </c>
      <c r="N66" s="170" t="s">
        <v>10</v>
      </c>
      <c r="O66" s="319" t="s">
        <v>363</v>
      </c>
      <c r="T66" s="165"/>
      <c r="U66" s="165"/>
    </row>
    <row r="67" spans="2:22" hidden="1" x14ac:dyDescent="0.25">
      <c r="B67" s="201" t="s">
        <v>97</v>
      </c>
      <c r="C67" s="181">
        <v>42670</v>
      </c>
      <c r="D67" s="182" t="s">
        <v>11</v>
      </c>
      <c r="E67" s="181">
        <v>42641</v>
      </c>
      <c r="F67" s="198">
        <f t="shared" ref="F67:F70" si="57">+G67-E67</f>
        <v>29</v>
      </c>
      <c r="G67" s="184">
        <v>42670</v>
      </c>
      <c r="H67" s="181" t="s">
        <v>93</v>
      </c>
      <c r="I67" s="181" t="s">
        <v>14</v>
      </c>
      <c r="J67" s="199">
        <f>150000*0</f>
        <v>0</v>
      </c>
      <c r="K67" s="186">
        <v>744.8</v>
      </c>
      <c r="L67" s="206"/>
      <c r="M67" s="206"/>
      <c r="N67" s="200">
        <f t="shared" ref="N67" si="58">-ROUND((-K67+$L67)*J67,2)</f>
        <v>0</v>
      </c>
      <c r="T67" s="165">
        <f>ROUND(((J67*K67)/1000),0)</f>
        <v>0</v>
      </c>
      <c r="U67" s="165">
        <f>ROUND(((J67*L67)/1000),0)</f>
        <v>0</v>
      </c>
    </row>
    <row r="68" spans="2:22" hidden="1" x14ac:dyDescent="0.25">
      <c r="B68" s="201" t="s">
        <v>98</v>
      </c>
      <c r="C68" s="181">
        <v>42913</v>
      </c>
      <c r="D68" s="182" t="s">
        <v>11</v>
      </c>
      <c r="E68" s="181">
        <v>42642</v>
      </c>
      <c r="F68" s="198">
        <f t="shared" si="57"/>
        <v>271</v>
      </c>
      <c r="G68" s="190">
        <v>42913</v>
      </c>
      <c r="H68" s="181" t="s">
        <v>93</v>
      </c>
      <c r="I68" s="181" t="s">
        <v>14</v>
      </c>
      <c r="J68" s="199">
        <f>194250*0</f>
        <v>0</v>
      </c>
      <c r="K68" s="186">
        <v>765.8</v>
      </c>
      <c r="L68" s="187">
        <v>0</v>
      </c>
      <c r="M68" s="187"/>
      <c r="N68" s="200">
        <f t="shared" ref="N68:N70" si="59">IF(I68="C",(L68-K68)*J68,IF(I68="V",(K68-L68)*J68,))</f>
        <v>0</v>
      </c>
      <c r="Q68" s="205">
        <f>+J68*K68</f>
        <v>0</v>
      </c>
      <c r="T68" s="165">
        <f>ROUND(((J68*K68)/1000),0)</f>
        <v>0</v>
      </c>
      <c r="U68" s="165">
        <f>ROUND(((J68*L68)/1000),0)</f>
        <v>0</v>
      </c>
      <c r="V68" s="191"/>
    </row>
    <row r="69" spans="2:22" hidden="1" x14ac:dyDescent="0.25">
      <c r="B69" s="201" t="s">
        <v>99</v>
      </c>
      <c r="C69" s="181">
        <v>42933</v>
      </c>
      <c r="D69" s="182" t="s">
        <v>11</v>
      </c>
      <c r="E69" s="181">
        <v>42648</v>
      </c>
      <c r="F69" s="198">
        <f t="shared" si="57"/>
        <v>285</v>
      </c>
      <c r="G69" s="190">
        <v>42933</v>
      </c>
      <c r="H69" s="181" t="s">
        <v>93</v>
      </c>
      <c r="I69" s="181" t="s">
        <v>14</v>
      </c>
      <c r="J69" s="199">
        <f>156400*0</f>
        <v>0</v>
      </c>
      <c r="K69" s="186">
        <v>771.9</v>
      </c>
      <c r="L69" s="187">
        <v>0</v>
      </c>
      <c r="M69" s="187"/>
      <c r="N69" s="200">
        <f t="shared" si="59"/>
        <v>0</v>
      </c>
      <c r="T69" s="165">
        <f>ROUND(((J69*K69)/1000),0)</f>
        <v>0</v>
      </c>
      <c r="U69" s="165">
        <f>ROUND(((J69*L69)/1000),0)</f>
        <v>0</v>
      </c>
      <c r="V69" s="191"/>
    </row>
    <row r="70" spans="2:22" hidden="1" x14ac:dyDescent="0.25">
      <c r="B70" s="201" t="s">
        <v>98</v>
      </c>
      <c r="C70" s="181">
        <v>42913</v>
      </c>
      <c r="D70" s="182" t="s">
        <v>11</v>
      </c>
      <c r="E70" s="181">
        <v>42690</v>
      </c>
      <c r="F70" s="198">
        <f t="shared" si="57"/>
        <v>223</v>
      </c>
      <c r="G70" s="190">
        <v>42913</v>
      </c>
      <c r="H70" s="181" t="s">
        <v>93</v>
      </c>
      <c r="I70" s="181" t="s">
        <v>14</v>
      </c>
      <c r="J70" s="199">
        <f>111000*0</f>
        <v>0</v>
      </c>
      <c r="K70" s="186">
        <v>744.6</v>
      </c>
      <c r="L70" s="187">
        <v>0</v>
      </c>
      <c r="M70" s="187"/>
      <c r="N70" s="200">
        <f t="shared" si="59"/>
        <v>0</v>
      </c>
      <c r="Q70" s="205">
        <f>+J70*K70</f>
        <v>0</v>
      </c>
      <c r="T70" s="165">
        <f>ROUND(((J70*K70)/1000),0)</f>
        <v>0</v>
      </c>
      <c r="U70" s="165">
        <f>ROUND(((J70*L70)/1000),0)</f>
        <v>0</v>
      </c>
      <c r="V70" s="191"/>
    </row>
    <row r="71" spans="2:22" hidden="1" x14ac:dyDescent="0.25">
      <c r="B71" s="166"/>
      <c r="C71" s="181"/>
      <c r="D71" s="182"/>
      <c r="E71" s="181"/>
      <c r="F71" s="198"/>
      <c r="G71" s="184"/>
      <c r="H71" s="181"/>
      <c r="I71" s="181"/>
      <c r="J71" s="199"/>
      <c r="K71" s="186"/>
      <c r="L71" s="187"/>
      <c r="M71" s="187"/>
      <c r="N71" s="188"/>
      <c r="Q71" s="202"/>
      <c r="R71" s="179"/>
      <c r="T71" s="165"/>
      <c r="U71" s="165"/>
    </row>
    <row r="72" spans="2:22" ht="15.75" thickBot="1" x14ac:dyDescent="0.3">
      <c r="B72" s="166"/>
      <c r="C72" s="192" t="s">
        <v>78</v>
      </c>
      <c r="D72" s="192"/>
      <c r="E72" s="192"/>
      <c r="F72" s="193"/>
      <c r="G72" s="193"/>
      <c r="H72" s="193"/>
      <c r="I72" s="193"/>
      <c r="J72" s="194"/>
      <c r="K72" s="193"/>
      <c r="L72" s="195"/>
      <c r="M72" s="195"/>
      <c r="N72" s="196">
        <f>SUM(N67:N71)</f>
        <v>0</v>
      </c>
      <c r="O72" s="316">
        <f>SUM(O67:O71)</f>
        <v>0</v>
      </c>
      <c r="Q72" s="205"/>
      <c r="S72" s="164"/>
      <c r="T72" s="165"/>
      <c r="U72" s="165"/>
    </row>
    <row r="73" spans="2:22" x14ac:dyDescent="0.25">
      <c r="B73" s="166"/>
      <c r="N73" s="179"/>
      <c r="T73" s="165"/>
      <c r="U73" s="165"/>
    </row>
    <row r="74" spans="2:22" ht="15.75" thickBot="1" x14ac:dyDescent="0.3">
      <c r="B74" s="166"/>
      <c r="C74" s="197" t="s">
        <v>106</v>
      </c>
      <c r="K74" s="161"/>
      <c r="L74" s="161"/>
      <c r="M74" s="161"/>
      <c r="T74" s="165"/>
      <c r="U74" s="165"/>
    </row>
    <row r="75" spans="2:22" ht="24.75" thickBot="1" x14ac:dyDescent="0.3">
      <c r="B75" s="166"/>
      <c r="C75" s="168" t="s">
        <v>0</v>
      </c>
      <c r="D75" s="168" t="s">
        <v>1</v>
      </c>
      <c r="E75" s="168" t="s">
        <v>79</v>
      </c>
      <c r="F75" s="168" t="s">
        <v>3</v>
      </c>
      <c r="G75" s="168" t="s">
        <v>4</v>
      </c>
      <c r="H75" s="168" t="s">
        <v>5</v>
      </c>
      <c r="I75" s="168" t="s">
        <v>6</v>
      </c>
      <c r="J75" s="168" t="s">
        <v>7</v>
      </c>
      <c r="K75" s="168" t="s">
        <v>8</v>
      </c>
      <c r="L75" s="169" t="s">
        <v>9</v>
      </c>
      <c r="M75" s="314" t="s">
        <v>364</v>
      </c>
      <c r="N75" s="170" t="s">
        <v>10</v>
      </c>
      <c r="O75" s="319" t="s">
        <v>363</v>
      </c>
      <c r="R75" s="204">
        <f>+N68+N70</f>
        <v>0</v>
      </c>
      <c r="T75" s="165"/>
      <c r="U75" s="165"/>
    </row>
    <row r="76" spans="2:22" hidden="1" x14ac:dyDescent="0.25">
      <c r="B76" s="201" t="s">
        <v>107</v>
      </c>
      <c r="C76" s="181">
        <v>42932</v>
      </c>
      <c r="D76" s="182" t="s">
        <v>11</v>
      </c>
      <c r="E76" s="181">
        <v>42720</v>
      </c>
      <c r="F76" s="198">
        <f t="shared" ref="F76" si="60">+G76-E76</f>
        <v>213</v>
      </c>
      <c r="G76" s="190">
        <v>42933</v>
      </c>
      <c r="H76" s="181" t="s">
        <v>93</v>
      </c>
      <c r="I76" s="181" t="s">
        <v>12</v>
      </c>
      <c r="J76" s="199">
        <f>156400*0</f>
        <v>0</v>
      </c>
      <c r="K76" s="186">
        <v>717.4</v>
      </c>
      <c r="L76" s="187">
        <v>0</v>
      </c>
      <c r="M76" s="187"/>
      <c r="N76" s="200">
        <f>IF(I76="C",(L76-K76)*J76,IF(I76="V",(K76-L76)*J76,))</f>
        <v>0</v>
      </c>
      <c r="T76" s="165">
        <f>ROUND(((J76*K76)/1000),0)</f>
        <v>0</v>
      </c>
      <c r="U76" s="165">
        <f>ROUND(((J76*L76)/1000),0)</f>
        <v>0</v>
      </c>
      <c r="V76" s="191"/>
    </row>
    <row r="77" spans="2:22" hidden="1" x14ac:dyDescent="0.25">
      <c r="B77" s="166"/>
      <c r="C77" s="181"/>
      <c r="D77" s="182"/>
      <c r="E77" s="181"/>
      <c r="F77" s="198"/>
      <c r="G77" s="184"/>
      <c r="H77" s="181"/>
      <c r="I77" s="181"/>
      <c r="J77" s="199"/>
      <c r="K77" s="186"/>
      <c r="L77" s="187"/>
      <c r="M77" s="187"/>
      <c r="N77" s="188"/>
      <c r="T77" s="165"/>
      <c r="U77" s="165"/>
    </row>
    <row r="78" spans="2:22" ht="15.75" thickBot="1" x14ac:dyDescent="0.3">
      <c r="B78" s="166"/>
      <c r="C78" s="192" t="s">
        <v>78</v>
      </c>
      <c r="D78" s="192"/>
      <c r="E78" s="192"/>
      <c r="F78" s="193"/>
      <c r="G78" s="193"/>
      <c r="H78" s="193"/>
      <c r="I78" s="193"/>
      <c r="J78" s="194"/>
      <c r="K78" s="193"/>
      <c r="L78" s="195"/>
      <c r="M78" s="195"/>
      <c r="N78" s="196">
        <f>SUM(N76:N77)</f>
        <v>0</v>
      </c>
      <c r="O78" s="316">
        <f>SUM(O76:O77)</f>
        <v>0</v>
      </c>
    </row>
    <row r="79" spans="2:22" x14ac:dyDescent="0.25">
      <c r="B79" s="166"/>
    </row>
    <row r="80" spans="2:22" x14ac:dyDescent="0.25">
      <c r="B80" s="166"/>
    </row>
    <row r="81" spans="5:22" ht="15.75" thickBot="1" x14ac:dyDescent="0.3">
      <c r="Q81" s="161" t="s">
        <v>82</v>
      </c>
      <c r="R81" s="204">
        <f>+O47+O48+O52+O53+O54+O55+O56</f>
        <v>2996300.5662925211</v>
      </c>
      <c r="S81" s="207" t="s">
        <v>103</v>
      </c>
      <c r="T81" s="167">
        <f>+T24+T25+T47+T48+T52+T53+T54+T55+T56</f>
        <v>2951269</v>
      </c>
      <c r="U81" s="167">
        <f>+U24+U25+U47+U48+U52+U53+U54+U55+U56</f>
        <v>1640661</v>
      </c>
      <c r="V81" s="208"/>
    </row>
    <row r="82" spans="5:22" ht="15.75" thickBot="1" x14ac:dyDescent="0.3">
      <c r="L82" s="209" t="str">
        <f>IF(N82&gt;0,"Derecho FWD","Obligación FWD")</f>
        <v>Derecho FWD</v>
      </c>
      <c r="M82" s="209"/>
      <c r="N82" s="316">
        <f>+N16+N33+N63+N72+N78+N40</f>
        <v>22760913.300000016</v>
      </c>
      <c r="O82" s="308">
        <f>+O16+O33+O63+O72+O78+O40</f>
        <v>13333239.713056698</v>
      </c>
      <c r="Q82" s="161" t="s">
        <v>64</v>
      </c>
      <c r="R82" s="204">
        <f>+O24+O25+O38+O26</f>
        <v>10336939.146764178</v>
      </c>
      <c r="S82" s="207" t="s">
        <v>102</v>
      </c>
    </row>
    <row r="83" spans="5:22" x14ac:dyDescent="0.25">
      <c r="K83" s="164" t="s">
        <v>136</v>
      </c>
      <c r="L83" s="210">
        <v>201001001005</v>
      </c>
      <c r="M83" s="210"/>
      <c r="N83" s="179"/>
      <c r="R83" s="165">
        <f>SUM(R81:R82)</f>
        <v>13333239.713056698</v>
      </c>
    </row>
    <row r="84" spans="5:22" x14ac:dyDescent="0.25">
      <c r="K84" s="164" t="s">
        <v>135</v>
      </c>
      <c r="L84" s="210">
        <v>101002003001</v>
      </c>
      <c r="M84" s="210"/>
      <c r="R84" s="204"/>
    </row>
    <row r="85" spans="5:22" x14ac:dyDescent="0.25">
      <c r="E85" s="293"/>
      <c r="R85" s="204"/>
    </row>
    <row r="87" spans="5:22" x14ac:dyDescent="0.25">
      <c r="L87" s="210">
        <v>101002003001</v>
      </c>
      <c r="M87" s="210"/>
      <c r="N87" s="179">
        <f>+N21+N46+N68+N77+N84</f>
        <v>0</v>
      </c>
    </row>
    <row r="95" spans="5:22" x14ac:dyDescent="0.25">
      <c r="Q95" s="211" t="s">
        <v>95</v>
      </c>
      <c r="R95" s="211" t="s">
        <v>96</v>
      </c>
      <c r="S95" s="211" t="s">
        <v>94</v>
      </c>
    </row>
    <row r="96" spans="5:22" x14ac:dyDescent="0.25">
      <c r="Q96" s="212">
        <v>0.86360000000000003</v>
      </c>
      <c r="R96" s="164">
        <v>0.95489999999999997</v>
      </c>
      <c r="S96" s="213">
        <f>MEDIAN(Q96:R96)</f>
        <v>0.90925</v>
      </c>
    </row>
    <row r="97" spans="17:19" x14ac:dyDescent="0.25">
      <c r="Q97" s="212">
        <v>22.8048</v>
      </c>
      <c r="R97" s="164">
        <v>23.2986</v>
      </c>
      <c r="S97" s="213">
        <f>MEDIAN(Q97:R97)</f>
        <v>23.0517</v>
      </c>
    </row>
    <row r="98" spans="17:19" x14ac:dyDescent="0.25">
      <c r="Q98" s="212">
        <v>24.604199999999999</v>
      </c>
      <c r="R98" s="164">
        <v>25.1112</v>
      </c>
      <c r="S98" s="213">
        <f>MEDIAN(Q98:R98)</f>
        <v>24.857700000000001</v>
      </c>
    </row>
  </sheetData>
  <conditionalFormatting sqref="G1:G6 G63:G64 G73 G16:G19 G79:G1048576 G33:G35 G41:G44">
    <cfRule type="cellIs" dxfId="117" priority="115" operator="equal">
      <formula>TODAY()</formula>
    </cfRule>
  </conditionalFormatting>
  <conditionalFormatting sqref="C1:C3 G67:G71 G76:G77 G21:G24 G45">
    <cfRule type="cellIs" dxfId="116" priority="112" stopIfTrue="1" operator="equal">
      <formula>TODAY()+1</formula>
    </cfRule>
    <cfRule type="cellIs" dxfId="115" priority="113" stopIfTrue="1" operator="equal">
      <formula>TODAY()-1</formula>
    </cfRule>
    <cfRule type="cellIs" dxfId="114" priority="114" stopIfTrue="1" operator="equal">
      <formula>TODAY()</formula>
    </cfRule>
  </conditionalFormatting>
  <conditionalFormatting sqref="G7:G15">
    <cfRule type="cellIs" dxfId="113" priority="109" stopIfTrue="1" operator="equal">
      <formula>TODAY()+1</formula>
    </cfRule>
    <cfRule type="cellIs" dxfId="112" priority="110" stopIfTrue="1" operator="equal">
      <formula>TODAY()-1</formula>
    </cfRule>
    <cfRule type="cellIs" dxfId="111" priority="111" stopIfTrue="1" operator="equal">
      <formula>TODAY()</formula>
    </cfRule>
  </conditionalFormatting>
  <conditionalFormatting sqref="G27:G31">
    <cfRule type="cellIs" dxfId="110" priority="106" stopIfTrue="1" operator="equal">
      <formula>TODAY()+1</formula>
    </cfRule>
    <cfRule type="cellIs" dxfId="109" priority="107" stopIfTrue="1" operator="equal">
      <formula>TODAY()-1</formula>
    </cfRule>
    <cfRule type="cellIs" dxfId="108" priority="108" stopIfTrue="1" operator="equal">
      <formula>TODAY()</formula>
    </cfRule>
  </conditionalFormatting>
  <conditionalFormatting sqref="G61">
    <cfRule type="cellIs" dxfId="107" priority="103" stopIfTrue="1" operator="equal">
      <formula>TODAY()+1</formula>
    </cfRule>
    <cfRule type="cellIs" dxfId="106" priority="104" stopIfTrue="1" operator="equal">
      <formula>TODAY()-1</formula>
    </cfRule>
    <cfRule type="cellIs" dxfId="105" priority="105" stopIfTrue="1" operator="equal">
      <formula>TODAY()</formula>
    </cfRule>
  </conditionalFormatting>
  <conditionalFormatting sqref="G57:G58">
    <cfRule type="cellIs" dxfId="104" priority="94" stopIfTrue="1" operator="equal">
      <formula>TODAY()+1</formula>
    </cfRule>
    <cfRule type="cellIs" dxfId="103" priority="95" stopIfTrue="1" operator="equal">
      <formula>TODAY()-1</formula>
    </cfRule>
    <cfRule type="cellIs" dxfId="102" priority="96" stopIfTrue="1" operator="equal">
      <formula>TODAY()</formula>
    </cfRule>
  </conditionalFormatting>
  <conditionalFormatting sqref="G20">
    <cfRule type="cellIs" dxfId="101" priority="91" stopIfTrue="1" operator="equal">
      <formula>TODAY()+1</formula>
    </cfRule>
    <cfRule type="cellIs" dxfId="100" priority="92" stopIfTrue="1" operator="equal">
      <formula>TODAY()-1</formula>
    </cfRule>
    <cfRule type="cellIs" dxfId="99" priority="93" stopIfTrue="1" operator="equal">
      <formula>TODAY()</formula>
    </cfRule>
  </conditionalFormatting>
  <conditionalFormatting sqref="G46:G49">
    <cfRule type="cellIs" dxfId="98" priority="88" stopIfTrue="1" operator="equal">
      <formula>TODAY()+1</formula>
    </cfRule>
    <cfRule type="cellIs" dxfId="97" priority="89" stopIfTrue="1" operator="equal">
      <formula>TODAY()-1</formula>
    </cfRule>
    <cfRule type="cellIs" dxfId="96" priority="90" stopIfTrue="1" operator="equal">
      <formula>TODAY()</formula>
    </cfRule>
  </conditionalFormatting>
  <conditionalFormatting sqref="G65:G66 G72">
    <cfRule type="cellIs" dxfId="95" priority="87" operator="equal">
      <formula>TODAY()</formula>
    </cfRule>
  </conditionalFormatting>
  <conditionalFormatting sqref="G74:G75 G78">
    <cfRule type="cellIs" dxfId="94" priority="71" operator="equal">
      <formula>TODAY()</formula>
    </cfRule>
  </conditionalFormatting>
  <conditionalFormatting sqref="G59">
    <cfRule type="cellIs" dxfId="93" priority="65" stopIfTrue="1" operator="equal">
      <formula>TODAY()+1</formula>
    </cfRule>
    <cfRule type="cellIs" dxfId="92" priority="66" stopIfTrue="1" operator="equal">
      <formula>TODAY()-1</formula>
    </cfRule>
    <cfRule type="cellIs" dxfId="91" priority="67" stopIfTrue="1" operator="equal">
      <formula>TODAY()</formula>
    </cfRule>
  </conditionalFormatting>
  <conditionalFormatting sqref="G60">
    <cfRule type="cellIs" dxfId="90" priority="62" stopIfTrue="1" operator="equal">
      <formula>TODAY()+1</formula>
    </cfRule>
    <cfRule type="cellIs" dxfId="89" priority="63" stopIfTrue="1" operator="equal">
      <formula>TODAY()-1</formula>
    </cfRule>
    <cfRule type="cellIs" dxfId="88" priority="64" stopIfTrue="1" operator="equal">
      <formula>TODAY()</formula>
    </cfRule>
  </conditionalFormatting>
  <conditionalFormatting sqref="G25">
    <cfRule type="cellIs" dxfId="87" priority="59" stopIfTrue="1" operator="equal">
      <formula>TODAY()+1</formula>
    </cfRule>
    <cfRule type="cellIs" dxfId="86" priority="60" stopIfTrue="1" operator="equal">
      <formula>TODAY()-1</formula>
    </cfRule>
    <cfRule type="cellIs" dxfId="85" priority="61" stopIfTrue="1" operator="equal">
      <formula>TODAY()</formula>
    </cfRule>
  </conditionalFormatting>
  <conditionalFormatting sqref="G50">
    <cfRule type="cellIs" dxfId="84" priority="56" stopIfTrue="1" operator="equal">
      <formula>TODAY()+1</formula>
    </cfRule>
    <cfRule type="cellIs" dxfId="83" priority="57" stopIfTrue="1" operator="equal">
      <formula>TODAY()-1</formula>
    </cfRule>
    <cfRule type="cellIs" dxfId="82" priority="58" stopIfTrue="1" operator="equal">
      <formula>TODAY()</formula>
    </cfRule>
  </conditionalFormatting>
  <conditionalFormatting sqref="G51">
    <cfRule type="cellIs" dxfId="81" priority="53" stopIfTrue="1" operator="equal">
      <formula>TODAY()+1</formula>
    </cfRule>
    <cfRule type="cellIs" dxfId="80" priority="54" stopIfTrue="1" operator="equal">
      <formula>TODAY()-1</formula>
    </cfRule>
    <cfRule type="cellIs" dxfId="79" priority="55" stopIfTrue="1" operator="equal">
      <formula>TODAY()</formula>
    </cfRule>
  </conditionalFormatting>
  <conditionalFormatting sqref="G32">
    <cfRule type="cellIs" dxfId="78" priority="44" stopIfTrue="1" operator="equal">
      <formula>TODAY()+1</formula>
    </cfRule>
    <cfRule type="cellIs" dxfId="77" priority="45" stopIfTrue="1" operator="equal">
      <formula>TODAY()-1</formula>
    </cfRule>
    <cfRule type="cellIs" dxfId="76" priority="46" stopIfTrue="1" operator="equal">
      <formula>TODAY()</formula>
    </cfRule>
  </conditionalFormatting>
  <conditionalFormatting sqref="G62">
    <cfRule type="cellIs" dxfId="75" priority="41" stopIfTrue="1" operator="equal">
      <formula>TODAY()+1</formula>
    </cfRule>
    <cfRule type="cellIs" dxfId="74" priority="42" stopIfTrue="1" operator="equal">
      <formula>TODAY()-1</formula>
    </cfRule>
    <cfRule type="cellIs" dxfId="73" priority="43" stopIfTrue="1" operator="equal">
      <formula>TODAY()</formula>
    </cfRule>
  </conditionalFormatting>
  <conditionalFormatting sqref="G26">
    <cfRule type="cellIs" dxfId="72" priority="38" stopIfTrue="1" operator="equal">
      <formula>TODAY()+1</formula>
    </cfRule>
    <cfRule type="cellIs" dxfId="71" priority="39" stopIfTrue="1" operator="equal">
      <formula>TODAY()-1</formula>
    </cfRule>
    <cfRule type="cellIs" dxfId="70" priority="40" stopIfTrue="1" operator="equal">
      <formula>TODAY()</formula>
    </cfRule>
  </conditionalFormatting>
  <conditionalFormatting sqref="G52">
    <cfRule type="cellIs" dxfId="69" priority="35" stopIfTrue="1" operator="equal">
      <formula>TODAY()+1</formula>
    </cfRule>
    <cfRule type="cellIs" dxfId="68" priority="36" stopIfTrue="1" operator="equal">
      <formula>TODAY()-1</formula>
    </cfRule>
    <cfRule type="cellIs" dxfId="67" priority="37" stopIfTrue="1" operator="equal">
      <formula>TODAY()</formula>
    </cfRule>
  </conditionalFormatting>
  <conditionalFormatting sqref="G53">
    <cfRule type="cellIs" dxfId="66" priority="32" stopIfTrue="1" operator="equal">
      <formula>TODAY()+1</formula>
    </cfRule>
    <cfRule type="cellIs" dxfId="65" priority="33" stopIfTrue="1" operator="equal">
      <formula>TODAY()-1</formula>
    </cfRule>
    <cfRule type="cellIs" dxfId="64" priority="34" stopIfTrue="1" operator="equal">
      <formula>TODAY()</formula>
    </cfRule>
  </conditionalFormatting>
  <conditionalFormatting sqref="G54">
    <cfRule type="cellIs" dxfId="63" priority="29" stopIfTrue="1" operator="equal">
      <formula>TODAY()+1</formula>
    </cfRule>
    <cfRule type="cellIs" dxfId="62" priority="30" stopIfTrue="1" operator="equal">
      <formula>TODAY()-1</formula>
    </cfRule>
    <cfRule type="cellIs" dxfId="61" priority="31" stopIfTrue="1" operator="equal">
      <formula>TODAY()</formula>
    </cfRule>
  </conditionalFormatting>
  <conditionalFormatting sqref="G55">
    <cfRule type="cellIs" dxfId="60" priority="26" stopIfTrue="1" operator="equal">
      <formula>TODAY()+1</formula>
    </cfRule>
    <cfRule type="cellIs" dxfId="59" priority="27" stopIfTrue="1" operator="equal">
      <formula>TODAY()-1</formula>
    </cfRule>
    <cfRule type="cellIs" dxfId="58" priority="28" stopIfTrue="1" operator="equal">
      <formula>TODAY()</formula>
    </cfRule>
  </conditionalFormatting>
  <conditionalFormatting sqref="G56">
    <cfRule type="cellIs" dxfId="57" priority="23" stopIfTrue="1" operator="equal">
      <formula>TODAY()+1</formula>
    </cfRule>
    <cfRule type="cellIs" dxfId="56" priority="24" stopIfTrue="1" operator="equal">
      <formula>TODAY()-1</formula>
    </cfRule>
    <cfRule type="cellIs" dxfId="55" priority="25" stopIfTrue="1" operator="equal">
      <formula>TODAY()</formula>
    </cfRule>
  </conditionalFormatting>
  <conditionalFormatting sqref="G40 G36:G37">
    <cfRule type="cellIs" dxfId="54" priority="22" operator="equal">
      <formula>TODAY()</formula>
    </cfRule>
  </conditionalFormatting>
  <conditionalFormatting sqref="G38">
    <cfRule type="cellIs" dxfId="53" priority="13" stopIfTrue="1" operator="equal">
      <formula>TODAY()+1</formula>
    </cfRule>
    <cfRule type="cellIs" dxfId="52" priority="14" stopIfTrue="1" operator="equal">
      <formula>TODAY()-1</formula>
    </cfRule>
    <cfRule type="cellIs" dxfId="51" priority="15" stopIfTrue="1" operator="equal">
      <formula>TODAY()</formula>
    </cfRule>
  </conditionalFormatting>
  <conditionalFormatting sqref="G39">
    <cfRule type="cellIs" dxfId="50" priority="1" stopIfTrue="1" operator="equal">
      <formula>TODAY()+1</formula>
    </cfRule>
    <cfRule type="cellIs" dxfId="49" priority="2" stopIfTrue="1" operator="equal">
      <formula>TODAY()-1</formula>
    </cfRule>
    <cfRule type="cellIs" dxfId="48" priority="3" stopIfTrue="1" operator="equal">
      <formula>TODAY()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3" tint="0.59999389629810485"/>
  </sheetPr>
  <dimension ref="A1:AT36"/>
  <sheetViews>
    <sheetView topLeftCell="F1" zoomScale="80" zoomScaleNormal="80" workbookViewId="0">
      <selection activeCell="P39" sqref="P39"/>
    </sheetView>
  </sheetViews>
  <sheetFormatPr baseColWidth="10" defaultRowHeight="15" x14ac:dyDescent="0.25"/>
  <cols>
    <col min="1" max="1" width="20" style="36" bestFit="1" customWidth="1"/>
    <col min="2" max="2" width="14.42578125" bestFit="1" customWidth="1"/>
    <col min="3" max="3" width="13.42578125" bestFit="1" customWidth="1"/>
    <col min="10" max="10" width="11.42578125" customWidth="1"/>
    <col min="11" max="11" width="12.85546875" bestFit="1" customWidth="1"/>
    <col min="12" max="12" width="16.7109375" style="4" bestFit="1" customWidth="1"/>
    <col min="13" max="13" width="12.28515625" style="4" customWidth="1"/>
    <col min="14" max="14" width="13.28515625" hidden="1" customWidth="1"/>
    <col min="15" max="15" width="15.85546875" bestFit="1" customWidth="1"/>
    <col min="16" max="16" width="16.42578125" style="36" customWidth="1"/>
    <col min="17" max="17" width="11.42578125" style="36"/>
    <col min="18" max="19" width="13.7109375" bestFit="1" customWidth="1"/>
    <col min="20" max="23" width="11.42578125" customWidth="1"/>
    <col min="24" max="24" width="4.7109375" customWidth="1"/>
    <col min="25" max="25" width="9.28515625" customWidth="1"/>
    <col min="26" max="26" width="17.140625" bestFit="1" customWidth="1"/>
    <col min="27" max="27" width="9.140625" bestFit="1" customWidth="1"/>
    <col min="28" max="28" width="10.7109375" bestFit="1" customWidth="1"/>
    <col min="29" max="29" width="9.140625" bestFit="1" customWidth="1"/>
    <col min="30" max="30" width="5.42578125" bestFit="1" customWidth="1"/>
    <col min="31" max="31" width="13.5703125" bestFit="1" customWidth="1"/>
    <col min="32" max="32" width="16" bestFit="1" customWidth="1"/>
    <col min="33" max="34" width="13.5703125" bestFit="1" customWidth="1"/>
    <col min="42" max="43" width="15.42578125" bestFit="1" customWidth="1"/>
    <col min="44" max="44" width="16" bestFit="1" customWidth="1"/>
    <col min="45" max="45" width="13.140625" bestFit="1" customWidth="1"/>
    <col min="46" max="46" width="18.5703125" bestFit="1" customWidth="1"/>
  </cols>
  <sheetData>
    <row r="1" spans="1:46" s="36" customFormat="1" ht="11.25" customHeight="1" x14ac:dyDescent="0.25">
      <c r="C1" s="45">
        <f ca="1">TODAY()-1</f>
        <v>43237</v>
      </c>
      <c r="D1" s="46" t="s">
        <v>87</v>
      </c>
      <c r="L1" s="4"/>
      <c r="M1" s="4"/>
      <c r="X1" s="36">
        <f>+LEN(X12)</f>
        <v>1</v>
      </c>
      <c r="Y1" s="36">
        <f t="shared" ref="Y1:AH1" si="0">+LEN(Y12)</f>
        <v>15</v>
      </c>
      <c r="Z1" s="36">
        <f t="shared" si="0"/>
        <v>20</v>
      </c>
      <c r="AA1" s="36">
        <f t="shared" si="0"/>
        <v>15</v>
      </c>
      <c r="AB1" s="36">
        <f t="shared" si="0"/>
        <v>8</v>
      </c>
      <c r="AC1" s="36">
        <f t="shared" si="0"/>
        <v>15</v>
      </c>
      <c r="AD1" s="36">
        <f t="shared" si="0"/>
        <v>3</v>
      </c>
      <c r="AE1" s="36">
        <f t="shared" si="0"/>
        <v>10</v>
      </c>
      <c r="AF1" s="36">
        <f t="shared" si="0"/>
        <v>10</v>
      </c>
      <c r="AG1" s="36">
        <f t="shared" si="0"/>
        <v>12</v>
      </c>
      <c r="AH1" s="36">
        <f t="shared" si="0"/>
        <v>10</v>
      </c>
    </row>
    <row r="2" spans="1:46" s="36" customFormat="1" ht="11.25" customHeight="1" x14ac:dyDescent="0.25">
      <c r="C2" s="45">
        <f ca="1">TODAY()</f>
        <v>43238</v>
      </c>
      <c r="D2" s="46" t="s">
        <v>86</v>
      </c>
      <c r="L2" s="4"/>
      <c r="M2" s="4"/>
      <c r="AF2" s="36">
        <v>12</v>
      </c>
    </row>
    <row r="3" spans="1:46" s="36" customFormat="1" ht="11.25" customHeight="1" x14ac:dyDescent="0.25">
      <c r="C3" s="45">
        <f ca="1">TODAY()+1</f>
        <v>43239</v>
      </c>
      <c r="D3" s="46" t="s">
        <v>88</v>
      </c>
      <c r="L3" s="4"/>
      <c r="M3" s="4"/>
    </row>
    <row r="4" spans="1:46" s="36" customFormat="1" x14ac:dyDescent="0.25">
      <c r="L4" s="4"/>
      <c r="M4" s="4"/>
    </row>
    <row r="5" spans="1:46" ht="36.75" thickBot="1" x14ac:dyDescent="0.3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43</v>
      </c>
      <c r="K5" s="1" t="s">
        <v>7</v>
      </c>
      <c r="L5" s="2" t="s">
        <v>8</v>
      </c>
      <c r="M5" s="1" t="s">
        <v>9</v>
      </c>
      <c r="N5" s="1" t="s">
        <v>10</v>
      </c>
      <c r="O5" s="1" t="s">
        <v>347</v>
      </c>
      <c r="P5" s="1" t="s">
        <v>348</v>
      </c>
      <c r="W5" s="36"/>
      <c r="X5" s="336"/>
      <c r="Y5" s="336"/>
      <c r="Z5" s="336"/>
      <c r="AA5" s="336"/>
      <c r="AB5" s="336"/>
      <c r="AC5" s="336"/>
      <c r="AD5" s="336"/>
      <c r="AE5" s="336"/>
      <c r="AF5" s="336"/>
      <c r="AG5" s="336"/>
      <c r="AH5" s="336"/>
      <c r="AJ5" s="272" t="s">
        <v>4</v>
      </c>
      <c r="AK5" s="273" t="s">
        <v>7</v>
      </c>
      <c r="AL5" s="274" t="s">
        <v>8</v>
      </c>
      <c r="AM5" s="275" t="s">
        <v>62</v>
      </c>
      <c r="AN5" s="275" t="s">
        <v>63</v>
      </c>
      <c r="AO5" s="36"/>
      <c r="AP5" s="276" t="s">
        <v>4</v>
      </c>
      <c r="AQ5" s="277" t="s">
        <v>7</v>
      </c>
      <c r="AR5" s="36" t="s">
        <v>8</v>
      </c>
      <c r="AS5" s="36" t="s">
        <v>62</v>
      </c>
      <c r="AT5" s="36" t="s">
        <v>63</v>
      </c>
    </row>
    <row r="6" spans="1:46" s="36" customFormat="1" ht="15.75" hidden="1" thickTop="1" x14ac:dyDescent="0.25">
      <c r="B6" s="36" t="s">
        <v>35</v>
      </c>
      <c r="C6" s="53">
        <v>42552</v>
      </c>
      <c r="D6" s="54" t="s">
        <v>11</v>
      </c>
      <c r="E6" s="55">
        <v>42487</v>
      </c>
      <c r="F6" s="56">
        <f t="shared" ref="F6:F16" si="1">+G6-E6</f>
        <v>65</v>
      </c>
      <c r="G6" s="61">
        <v>42552</v>
      </c>
      <c r="H6" s="55" t="s">
        <v>13</v>
      </c>
      <c r="I6" s="55" t="s">
        <v>14</v>
      </c>
      <c r="J6" s="55">
        <v>20000</v>
      </c>
      <c r="K6" s="58">
        <f>20000*0</f>
        <v>0</v>
      </c>
      <c r="L6" s="59">
        <f>(25876+171)*0</f>
        <v>0</v>
      </c>
      <c r="M6" s="62"/>
      <c r="N6" s="60"/>
      <c r="R6" s="3">
        <f>+K6*L6/1000</f>
        <v>0</v>
      </c>
      <c r="S6" s="3">
        <f>+K6*M6/1000</f>
        <v>0</v>
      </c>
      <c r="X6" s="270" t="s">
        <v>312</v>
      </c>
      <c r="Y6" s="36" t="s">
        <v>306</v>
      </c>
      <c r="Z6" s="36" t="s">
        <v>304</v>
      </c>
      <c r="AA6" s="36" t="s">
        <v>305</v>
      </c>
      <c r="AB6" s="271" t="str">
        <f t="shared" ref="AB6:AB12" si="2">+AP6</f>
        <v>20180307</v>
      </c>
      <c r="AC6" s="36" t="s">
        <v>305</v>
      </c>
      <c r="AD6" s="36" t="str">
        <f t="shared" ref="AD6:AD11" si="3">"CL"&amp;I16</f>
        <v>CLV</v>
      </c>
      <c r="AE6" s="41" t="str">
        <f t="shared" ref="AE6:AE12" si="4">+AQ6</f>
        <v>0000988761</v>
      </c>
      <c r="AF6" s="36" t="str">
        <f t="shared" ref="AF6:AF12" si="5">+AR6</f>
        <v>000000060682</v>
      </c>
      <c r="AG6" s="36" t="str">
        <f t="shared" ref="AG6:AG12" si="6">+AS6</f>
        <v>0000001006</v>
      </c>
      <c r="AH6" s="36" t="str">
        <f t="shared" ref="AH6:AH12" si="7">+AT6</f>
        <v>0000000989</v>
      </c>
      <c r="AJ6" s="272">
        <v>43167</v>
      </c>
      <c r="AK6" s="273">
        <v>988761.08</v>
      </c>
      <c r="AL6" s="274">
        <v>606.82000000000005</v>
      </c>
      <c r="AM6" s="275">
        <v>1006</v>
      </c>
      <c r="AN6" s="275">
        <v>989</v>
      </c>
      <c r="AP6" s="276" t="s">
        <v>307</v>
      </c>
      <c r="AQ6" s="277" t="s">
        <v>308</v>
      </c>
      <c r="AR6" s="36" t="s">
        <v>309</v>
      </c>
      <c r="AS6" s="36" t="s">
        <v>310</v>
      </c>
      <c r="AT6" s="36" t="s">
        <v>311</v>
      </c>
    </row>
    <row r="7" spans="1:46" ht="15.75" hidden="1" thickTop="1" x14ac:dyDescent="0.25">
      <c r="B7" t="s">
        <v>36</v>
      </c>
      <c r="C7" s="53">
        <v>42612</v>
      </c>
      <c r="D7" s="54" t="s">
        <v>11</v>
      </c>
      <c r="E7" s="55">
        <v>42488</v>
      </c>
      <c r="F7" s="56">
        <f t="shared" si="1"/>
        <v>124</v>
      </c>
      <c r="G7" s="61">
        <v>42612</v>
      </c>
      <c r="H7" s="55" t="s">
        <v>13</v>
      </c>
      <c r="I7" s="55" t="s">
        <v>14</v>
      </c>
      <c r="J7" s="55">
        <v>20000</v>
      </c>
      <c r="K7" s="58">
        <f>30000*0</f>
        <v>0</v>
      </c>
      <c r="L7" s="59">
        <v>26159</v>
      </c>
      <c r="M7" s="62"/>
      <c r="N7" s="60">
        <f t="shared" ref="N7:N16" si="8">IF(I7="C",(M7-L7)*K7,IF(I7="V",(L7-M7)*K7,))</f>
        <v>0</v>
      </c>
      <c r="R7" s="3">
        <f t="shared" ref="R7:R16" si="9">+K7*L7/1000</f>
        <v>0</v>
      </c>
      <c r="S7" s="3">
        <f t="shared" ref="S7:S8" si="10">+K7*M7/1000</f>
        <v>0</v>
      </c>
      <c r="X7" s="270" t="s">
        <v>313</v>
      </c>
      <c r="Y7" s="36" t="s">
        <v>306</v>
      </c>
      <c r="Z7" s="36" t="s">
        <v>304</v>
      </c>
      <c r="AA7" s="36" t="s">
        <v>305</v>
      </c>
      <c r="AB7" s="271" t="str">
        <f t="shared" si="2"/>
        <v>20180307</v>
      </c>
      <c r="AC7" s="36" t="s">
        <v>305</v>
      </c>
      <c r="AD7" s="36" t="str">
        <f t="shared" si="3"/>
        <v>CL</v>
      </c>
      <c r="AE7" s="41" t="str">
        <f t="shared" si="4"/>
        <v>0000988761</v>
      </c>
      <c r="AF7" s="36" t="str">
        <f t="shared" si="5"/>
        <v>000000060682</v>
      </c>
      <c r="AG7" s="36" t="str">
        <f t="shared" si="6"/>
        <v>0000001006</v>
      </c>
      <c r="AH7" s="36" t="str">
        <f t="shared" si="7"/>
        <v>0000000989</v>
      </c>
      <c r="AI7" s="36"/>
      <c r="AJ7" s="272">
        <v>43168</v>
      </c>
      <c r="AK7" s="273">
        <v>988761.08</v>
      </c>
      <c r="AL7" s="274">
        <v>606.82000000000005</v>
      </c>
      <c r="AM7" s="275">
        <v>1006</v>
      </c>
      <c r="AN7" s="275">
        <v>989</v>
      </c>
      <c r="AO7" s="36"/>
      <c r="AP7" s="276" t="s">
        <v>307</v>
      </c>
      <c r="AQ7" s="277" t="s">
        <v>308</v>
      </c>
      <c r="AR7" s="36" t="s">
        <v>309</v>
      </c>
      <c r="AS7" s="36" t="s">
        <v>310</v>
      </c>
      <c r="AT7" s="36" t="s">
        <v>311</v>
      </c>
    </row>
    <row r="8" spans="1:46" ht="15.75" hidden="1" thickTop="1" x14ac:dyDescent="0.25">
      <c r="B8" t="s">
        <v>37</v>
      </c>
      <c r="C8" s="53">
        <v>42600</v>
      </c>
      <c r="D8" s="54" t="s">
        <v>50</v>
      </c>
      <c r="E8" s="55">
        <v>42488</v>
      </c>
      <c r="F8" s="56">
        <f t="shared" si="1"/>
        <v>112</v>
      </c>
      <c r="G8" s="61">
        <v>42600</v>
      </c>
      <c r="H8" s="55" t="s">
        <v>13</v>
      </c>
      <c r="I8" s="55" t="s">
        <v>14</v>
      </c>
      <c r="J8" s="55"/>
      <c r="K8" s="58">
        <f>5000*0</f>
        <v>0</v>
      </c>
      <c r="L8" s="59">
        <v>26150</v>
      </c>
      <c r="M8" s="62"/>
      <c r="N8" s="60">
        <f t="shared" si="8"/>
        <v>0</v>
      </c>
      <c r="R8" s="3">
        <f t="shared" si="9"/>
        <v>0</v>
      </c>
      <c r="S8" s="3">
        <f t="shared" si="10"/>
        <v>0</v>
      </c>
      <c r="X8" s="270" t="s">
        <v>314</v>
      </c>
      <c r="Y8" s="36" t="s">
        <v>306</v>
      </c>
      <c r="Z8" s="36" t="s">
        <v>304</v>
      </c>
      <c r="AA8" s="36" t="s">
        <v>305</v>
      </c>
      <c r="AB8" s="271" t="str">
        <f t="shared" si="2"/>
        <v>20180307</v>
      </c>
      <c r="AC8" s="36" t="s">
        <v>305</v>
      </c>
      <c r="AD8" s="36" t="str">
        <f t="shared" si="3"/>
        <v>CL</v>
      </c>
      <c r="AE8" s="41" t="str">
        <f t="shared" si="4"/>
        <v>0000988761</v>
      </c>
      <c r="AF8" s="36" t="str">
        <f t="shared" si="5"/>
        <v>000000060682</v>
      </c>
      <c r="AG8" s="36" t="str">
        <f t="shared" si="6"/>
        <v>0000001006</v>
      </c>
      <c r="AH8" s="36" t="str">
        <f t="shared" si="7"/>
        <v>0000000989</v>
      </c>
      <c r="AI8" s="36"/>
      <c r="AJ8" s="272">
        <v>43169</v>
      </c>
      <c r="AK8" s="273">
        <v>988761.08</v>
      </c>
      <c r="AL8" s="274">
        <v>606.82000000000005</v>
      </c>
      <c r="AM8" s="275">
        <v>1006</v>
      </c>
      <c r="AN8" s="275">
        <v>989</v>
      </c>
      <c r="AO8" s="36"/>
      <c r="AP8" s="276" t="s">
        <v>307</v>
      </c>
      <c r="AQ8" s="277" t="s">
        <v>308</v>
      </c>
      <c r="AR8" s="36" t="s">
        <v>309</v>
      </c>
      <c r="AS8" s="36" t="s">
        <v>310</v>
      </c>
      <c r="AT8" s="36" t="s">
        <v>311</v>
      </c>
    </row>
    <row r="9" spans="1:46" ht="15.75" hidden="1" thickTop="1" x14ac:dyDescent="0.25">
      <c r="B9" t="s">
        <v>72</v>
      </c>
      <c r="C9" s="53">
        <v>42683</v>
      </c>
      <c r="D9" s="54" t="s">
        <v>11</v>
      </c>
      <c r="E9" s="55">
        <v>42531</v>
      </c>
      <c r="F9" s="56">
        <f t="shared" si="1"/>
        <v>152</v>
      </c>
      <c r="G9" s="61">
        <v>42683</v>
      </c>
      <c r="H9" s="55" t="s">
        <v>13</v>
      </c>
      <c r="I9" s="55" t="s">
        <v>14</v>
      </c>
      <c r="J9" s="55"/>
      <c r="K9" s="58">
        <f>50000*0</f>
        <v>0</v>
      </c>
      <c r="L9" s="59">
        <f>26008+415</f>
        <v>26423</v>
      </c>
      <c r="M9" s="62">
        <v>0</v>
      </c>
      <c r="N9" s="60">
        <f t="shared" si="8"/>
        <v>0</v>
      </c>
      <c r="R9" s="3">
        <f>+K9*L9/1000</f>
        <v>0</v>
      </c>
      <c r="S9" s="3">
        <f>+K9*M9/10+0</f>
        <v>0</v>
      </c>
      <c r="X9" s="270" t="s">
        <v>315</v>
      </c>
      <c r="Y9" s="36" t="s">
        <v>306</v>
      </c>
      <c r="Z9" s="36" t="s">
        <v>304</v>
      </c>
      <c r="AA9" s="36" t="s">
        <v>305</v>
      </c>
      <c r="AB9" s="271" t="str">
        <f t="shared" si="2"/>
        <v>20180307</v>
      </c>
      <c r="AC9" s="36" t="s">
        <v>305</v>
      </c>
      <c r="AD9" s="36" t="str">
        <f t="shared" si="3"/>
        <v>CL</v>
      </c>
      <c r="AE9" s="41" t="str">
        <f t="shared" si="4"/>
        <v>0000988761</v>
      </c>
      <c r="AF9" s="36" t="str">
        <f t="shared" si="5"/>
        <v>000000060682</v>
      </c>
      <c r="AG9" s="36" t="str">
        <f t="shared" si="6"/>
        <v>0000001006</v>
      </c>
      <c r="AH9" s="36" t="str">
        <f t="shared" si="7"/>
        <v>0000000989</v>
      </c>
      <c r="AI9" s="36"/>
      <c r="AJ9" s="272">
        <v>43170</v>
      </c>
      <c r="AK9" s="273">
        <v>988761.08</v>
      </c>
      <c r="AL9" s="274">
        <v>606.82000000000005</v>
      </c>
      <c r="AM9" s="275">
        <v>1006</v>
      </c>
      <c r="AN9" s="275">
        <v>989</v>
      </c>
      <c r="AO9" s="36"/>
      <c r="AP9" s="276" t="s">
        <v>307</v>
      </c>
      <c r="AQ9" s="277" t="s">
        <v>308</v>
      </c>
      <c r="AR9" s="36" t="s">
        <v>309</v>
      </c>
      <c r="AS9" s="36" t="s">
        <v>310</v>
      </c>
      <c r="AT9" s="36" t="s">
        <v>311</v>
      </c>
    </row>
    <row r="10" spans="1:46" s="36" customFormat="1" ht="15.75" hidden="1" thickTop="1" x14ac:dyDescent="0.25">
      <c r="B10" s="36" t="s">
        <v>105</v>
      </c>
      <c r="C10" s="53">
        <v>42815</v>
      </c>
      <c r="D10" s="54" t="s">
        <v>11</v>
      </c>
      <c r="E10" s="55">
        <v>42709</v>
      </c>
      <c r="F10" s="56">
        <f t="shared" si="1"/>
        <v>106</v>
      </c>
      <c r="G10" s="61">
        <v>42815</v>
      </c>
      <c r="H10" s="55" t="s">
        <v>13</v>
      </c>
      <c r="I10" s="55" t="s">
        <v>14</v>
      </c>
      <c r="J10" s="55"/>
      <c r="K10" s="58">
        <f>20000*0</f>
        <v>0</v>
      </c>
      <c r="L10" s="59">
        <f>26311+50</f>
        <v>26361</v>
      </c>
      <c r="M10" s="67"/>
      <c r="N10" s="60">
        <f>IF(I10="C",(M10-L10)*K10,IF(I10="V",(L10-M10)*K10,))*0</f>
        <v>0</v>
      </c>
      <c r="R10" s="3">
        <f t="shared" ref="R10:R11" si="11">+K10*L10/1000</f>
        <v>0</v>
      </c>
      <c r="S10" s="3">
        <f t="shared" ref="S10:S16" si="12">+K10*M10/1000</f>
        <v>0</v>
      </c>
      <c r="X10" s="270" t="s">
        <v>316</v>
      </c>
      <c r="Y10" s="36" t="s">
        <v>306</v>
      </c>
      <c r="Z10" s="36" t="s">
        <v>304</v>
      </c>
      <c r="AA10" s="36" t="s">
        <v>305</v>
      </c>
      <c r="AB10" s="271" t="str">
        <f t="shared" si="2"/>
        <v>20180307</v>
      </c>
      <c r="AC10" s="36" t="s">
        <v>305</v>
      </c>
      <c r="AD10" s="36" t="str">
        <f t="shared" si="3"/>
        <v>CL</v>
      </c>
      <c r="AE10" s="41" t="str">
        <f t="shared" si="4"/>
        <v>0000988761</v>
      </c>
      <c r="AF10" s="36" t="str">
        <f t="shared" si="5"/>
        <v>000000060682</v>
      </c>
      <c r="AG10" s="36" t="str">
        <f t="shared" si="6"/>
        <v>0000001006</v>
      </c>
      <c r="AH10" s="36" t="str">
        <f t="shared" si="7"/>
        <v>0000000989</v>
      </c>
      <c r="AJ10" s="272">
        <v>43171</v>
      </c>
      <c r="AK10" s="273">
        <v>988761.08</v>
      </c>
      <c r="AL10" s="274">
        <v>606.82000000000005</v>
      </c>
      <c r="AM10" s="275">
        <v>1006</v>
      </c>
      <c r="AN10" s="275">
        <v>989</v>
      </c>
      <c r="AP10" s="276" t="s">
        <v>307</v>
      </c>
      <c r="AQ10" s="277" t="s">
        <v>308</v>
      </c>
      <c r="AR10" s="36" t="s">
        <v>309</v>
      </c>
      <c r="AS10" s="36" t="s">
        <v>310</v>
      </c>
      <c r="AT10" s="36" t="s">
        <v>311</v>
      </c>
    </row>
    <row r="11" spans="1:46" s="36" customFormat="1" ht="15.75" hidden="1" thickTop="1" x14ac:dyDescent="0.25">
      <c r="B11" s="29" t="s">
        <v>110</v>
      </c>
      <c r="C11" s="53">
        <v>42807</v>
      </c>
      <c r="D11" s="54" t="s">
        <v>11</v>
      </c>
      <c r="E11" s="55">
        <v>42753</v>
      </c>
      <c r="F11" s="56">
        <f t="shared" si="1"/>
        <v>54</v>
      </c>
      <c r="G11" s="61">
        <v>42807</v>
      </c>
      <c r="H11" s="55" t="s">
        <v>13</v>
      </c>
      <c r="I11" s="55" t="s">
        <v>14</v>
      </c>
      <c r="J11" s="55"/>
      <c r="K11" s="58">
        <f>28000*0</f>
        <v>0</v>
      </c>
      <c r="L11" s="59">
        <f>26378+0</f>
        <v>26378</v>
      </c>
      <c r="M11" s="67"/>
      <c r="N11" s="60">
        <f>IF(I11="C",(M11-L11)*K11,IF(I11="V",(L11-M11)*K11,))*0</f>
        <v>0</v>
      </c>
      <c r="R11" s="3">
        <f t="shared" si="11"/>
        <v>0</v>
      </c>
      <c r="S11" s="3">
        <f t="shared" si="12"/>
        <v>0</v>
      </c>
      <c r="X11" s="270" t="s">
        <v>317</v>
      </c>
      <c r="Y11" s="36" t="s">
        <v>306</v>
      </c>
      <c r="Z11" s="36" t="s">
        <v>304</v>
      </c>
      <c r="AA11" s="36" t="s">
        <v>305</v>
      </c>
      <c r="AB11" s="271" t="str">
        <f t="shared" si="2"/>
        <v>20180307</v>
      </c>
      <c r="AC11" s="36" t="s">
        <v>305</v>
      </c>
      <c r="AD11" s="36" t="str">
        <f t="shared" si="3"/>
        <v>CL</v>
      </c>
      <c r="AE11" s="41" t="str">
        <f t="shared" si="4"/>
        <v>0000988761</v>
      </c>
      <c r="AF11" s="36" t="str">
        <f t="shared" si="5"/>
        <v>000000060682</v>
      </c>
      <c r="AG11" s="36" t="str">
        <f t="shared" si="6"/>
        <v>0000001006</v>
      </c>
      <c r="AH11" s="36" t="str">
        <f t="shared" si="7"/>
        <v>0000000989</v>
      </c>
      <c r="AJ11" s="272">
        <v>43172</v>
      </c>
      <c r="AK11" s="273">
        <v>988761.08</v>
      </c>
      <c r="AL11" s="274">
        <v>606.82000000000005</v>
      </c>
      <c r="AM11" s="275">
        <v>1006</v>
      </c>
      <c r="AN11" s="275">
        <v>989</v>
      </c>
      <c r="AP11" s="276" t="s">
        <v>307</v>
      </c>
      <c r="AQ11" s="277" t="s">
        <v>308</v>
      </c>
      <c r="AR11" s="36" t="s">
        <v>309</v>
      </c>
      <c r="AS11" s="36" t="s">
        <v>310</v>
      </c>
      <c r="AT11" s="36" t="s">
        <v>311</v>
      </c>
    </row>
    <row r="12" spans="1:46" s="36" customFormat="1" ht="15.75" thickTop="1" x14ac:dyDescent="0.25">
      <c r="A12" s="36" t="str">
        <f>+B12&amp;L12</f>
        <v>FWVUP01061827103</v>
      </c>
      <c r="B12" s="29" t="s">
        <v>299</v>
      </c>
      <c r="C12" s="53">
        <v>43252</v>
      </c>
      <c r="D12" s="54" t="s">
        <v>11</v>
      </c>
      <c r="E12" s="55">
        <v>43140</v>
      </c>
      <c r="F12" s="56">
        <f t="shared" si="1"/>
        <v>112</v>
      </c>
      <c r="G12" s="61">
        <v>43252</v>
      </c>
      <c r="H12" s="55" t="s">
        <v>13</v>
      </c>
      <c r="I12" s="55" t="s">
        <v>14</v>
      </c>
      <c r="J12" s="55"/>
      <c r="K12" s="58">
        <v>98000</v>
      </c>
      <c r="L12" s="287">
        <v>27103</v>
      </c>
      <c r="M12" s="67" t="str">
        <f>VLOOKUP(B12,'Inf. RA_$$'!M:Q,4,0)</f>
        <v>27080,94</v>
      </c>
      <c r="N12" s="60">
        <f>IF(I12="C",(M12-L12)*K12,IF(I12="V",(L12-M12)*K12,))</f>
        <v>2161880.0000001285</v>
      </c>
      <c r="O12" s="326" t="str">
        <f>+VLOOKUP(A12,'Inf. RA_$$'!T:U,2,0)</f>
        <v>22,035555224073</v>
      </c>
      <c r="P12" s="324">
        <f>+O12*K12</f>
        <v>2159484.4119591541</v>
      </c>
      <c r="R12" s="3">
        <f>+K12*L12/1000</f>
        <v>2656094</v>
      </c>
      <c r="S12" s="3">
        <f>+K12*M12/1000</f>
        <v>2653932.12</v>
      </c>
      <c r="X12" s="270">
        <v>2</v>
      </c>
      <c r="Y12" s="36" t="s">
        <v>306</v>
      </c>
      <c r="Z12" s="36" t="s">
        <v>304</v>
      </c>
      <c r="AA12" s="36" t="s">
        <v>305</v>
      </c>
      <c r="AB12" s="271" t="str">
        <f t="shared" si="2"/>
        <v>20180601</v>
      </c>
      <c r="AC12" s="36" t="s">
        <v>305</v>
      </c>
      <c r="AD12" s="36" t="str">
        <f>"CL"&amp;I12</f>
        <v>CLV</v>
      </c>
      <c r="AE12" s="41" t="str">
        <f t="shared" si="4"/>
        <v>0000098000</v>
      </c>
      <c r="AF12" s="36" t="str">
        <f t="shared" si="5"/>
        <v>0000027103</v>
      </c>
      <c r="AG12" s="36" t="str">
        <f t="shared" si="6"/>
        <v>000002656094</v>
      </c>
      <c r="AH12" s="36" t="str">
        <f t="shared" si="7"/>
        <v>0002653932</v>
      </c>
      <c r="AJ12" s="272">
        <f>+G12</f>
        <v>43252</v>
      </c>
      <c r="AK12" s="273">
        <f>+K12</f>
        <v>98000</v>
      </c>
      <c r="AL12" s="274">
        <f>+L12</f>
        <v>27103</v>
      </c>
      <c r="AM12" s="278">
        <f>+R12</f>
        <v>2656094</v>
      </c>
      <c r="AN12" s="278">
        <f>+S12</f>
        <v>2653932.12</v>
      </c>
      <c r="AP12" s="276" t="str">
        <f>+TEXT(AJ12,"YYYYMMDD")</f>
        <v>20180601</v>
      </c>
      <c r="AQ12" s="277" t="str">
        <f>CONCATENATE(REPT(0,10-LEN(ROUND(K12,0))),ROUND(K12,0))</f>
        <v>0000098000</v>
      </c>
      <c r="AR12" s="36" t="str">
        <f>CONCATENATE(REPT(0,10-LEN(ROUND(AL12,0))),ROUND(AL12,0))</f>
        <v>0000027103</v>
      </c>
      <c r="AS12" s="36" t="str">
        <f>CONCATENATE(REPT(0,12-LEN(ROUND(AM12,0))),ROUND(AM12,0))</f>
        <v>000002656094</v>
      </c>
      <c r="AT12" s="36" t="str">
        <f>CONCATENATE(REPT(0,10-LEN(ROUND(AN12,0))),ROUND(AN12,0))</f>
        <v>0002653932</v>
      </c>
    </row>
    <row r="13" spans="1:46" s="36" customFormat="1" hidden="1" x14ac:dyDescent="0.25">
      <c r="B13" s="29" t="s">
        <v>320</v>
      </c>
      <c r="C13" s="53">
        <v>43227</v>
      </c>
      <c r="D13" s="54" t="s">
        <v>11</v>
      </c>
      <c r="E13" s="55">
        <v>43158</v>
      </c>
      <c r="F13" s="56">
        <f t="shared" ref="F13" si="13">+G13-E13</f>
        <v>69</v>
      </c>
      <c r="G13" s="61">
        <v>43227</v>
      </c>
      <c r="H13" s="55" t="s">
        <v>13</v>
      </c>
      <c r="I13" s="55" t="s">
        <v>14</v>
      </c>
      <c r="J13" s="55"/>
      <c r="K13" s="58">
        <v>15000</v>
      </c>
      <c r="L13" s="287">
        <v>27078</v>
      </c>
      <c r="M13" s="67"/>
      <c r="N13" s="60"/>
      <c r="O13" s="326"/>
      <c r="P13" s="12"/>
      <c r="R13" s="3">
        <f>+K13*L13/1000*0</f>
        <v>0</v>
      </c>
      <c r="S13" s="3">
        <f>+K13*M13/1000*0</f>
        <v>0</v>
      </c>
      <c r="X13" s="270"/>
      <c r="AB13" s="271"/>
      <c r="AE13" s="41"/>
      <c r="AJ13" s="272"/>
      <c r="AK13" s="286"/>
      <c r="AL13" s="274"/>
      <c r="AM13" s="278"/>
      <c r="AN13" s="278"/>
      <c r="AP13" s="276"/>
      <c r="AQ13" s="277"/>
    </row>
    <row r="14" spans="1:46" s="36" customFormat="1" x14ac:dyDescent="0.25">
      <c r="A14" s="36" t="str">
        <f>+B14&amp;L14</f>
        <v>FWVUP01061827111</v>
      </c>
      <c r="B14" s="29" t="s">
        <v>299</v>
      </c>
      <c r="C14" s="53">
        <v>43252</v>
      </c>
      <c r="D14" s="54" t="s">
        <v>11</v>
      </c>
      <c r="E14" s="55">
        <v>43164</v>
      </c>
      <c r="F14" s="56">
        <f t="shared" ref="F14" si="14">+G14-E14</f>
        <v>88</v>
      </c>
      <c r="G14" s="61">
        <v>43252</v>
      </c>
      <c r="H14" s="55" t="s">
        <v>13</v>
      </c>
      <c r="I14" s="55" t="s">
        <v>14</v>
      </c>
      <c r="J14" s="55"/>
      <c r="K14" s="58">
        <v>171000</v>
      </c>
      <c r="L14" s="287">
        <v>27111</v>
      </c>
      <c r="M14" s="67" t="str">
        <f>VLOOKUP(B14,'Inf. RA_$$'!M:Q,4,0)</f>
        <v>27080,94</v>
      </c>
      <c r="N14" s="60">
        <f>IF(I14="C",(M14-L14)*K14,IF(I14="V",(L14-M14)*K14,))</f>
        <v>5140260.0000002235</v>
      </c>
      <c r="O14" s="326" t="str">
        <f>+VLOOKUP(A14,'Inf. RA_$$'!T:U,2,0)</f>
        <v>30,02669039146</v>
      </c>
      <c r="P14" s="324">
        <f>+O14*K14</f>
        <v>5134564.0569396606</v>
      </c>
      <c r="R14" s="3">
        <f t="shared" ref="R14" si="15">+K14*L14/1000</f>
        <v>4635981</v>
      </c>
      <c r="S14" s="3">
        <f t="shared" si="12"/>
        <v>4630840.74</v>
      </c>
      <c r="X14" s="270"/>
      <c r="AB14" s="271"/>
      <c r="AE14" s="41"/>
      <c r="AJ14" s="272"/>
      <c r="AK14" s="286"/>
      <c r="AL14" s="274"/>
      <c r="AM14" s="278"/>
      <c r="AN14" s="278"/>
      <c r="AP14" s="276"/>
      <c r="AQ14" s="277"/>
    </row>
    <row r="15" spans="1:46" s="36" customFormat="1" x14ac:dyDescent="0.25">
      <c r="A15" s="36" t="str">
        <f>+B15&amp;L15</f>
        <v>FWVUP01061827104</v>
      </c>
      <c r="B15" s="29" t="s">
        <v>299</v>
      </c>
      <c r="C15" s="53">
        <v>43252</v>
      </c>
      <c r="D15" s="54" t="s">
        <v>11</v>
      </c>
      <c r="E15" s="55">
        <v>43179</v>
      </c>
      <c r="F15" s="56">
        <f t="shared" ref="F15" si="16">+G15-E15</f>
        <v>73</v>
      </c>
      <c r="G15" s="61">
        <v>43252</v>
      </c>
      <c r="H15" s="55" t="s">
        <v>13</v>
      </c>
      <c r="I15" s="55" t="s">
        <v>14</v>
      </c>
      <c r="J15" s="55"/>
      <c r="K15" s="58">
        <v>95000</v>
      </c>
      <c r="L15" s="287">
        <v>27104</v>
      </c>
      <c r="M15" s="67" t="str">
        <f>VLOOKUP(B15,'Inf. RA_$$'!M:Q,4,0)</f>
        <v>27080,94</v>
      </c>
      <c r="N15" s="60">
        <f>IF(I15="C",(M15-L15)*K15,IF(I15="V",(L15-M15)*K15,))</f>
        <v>2190700.0000001243</v>
      </c>
      <c r="O15" s="326" t="str">
        <f>+VLOOKUP(A15,'Inf. RA_$$'!T:U,2,0)</f>
        <v>23,034447119993</v>
      </c>
      <c r="P15" s="324">
        <f>+O15*K15</f>
        <v>2188272.4763993351</v>
      </c>
      <c r="R15" s="3">
        <f t="shared" ref="R15" si="17">+K15*L15/1000</f>
        <v>2574880</v>
      </c>
      <c r="S15" s="3">
        <f t="shared" ref="S15" si="18">+K15*M15/1000</f>
        <v>2572689.2999999998</v>
      </c>
      <c r="X15" s="270"/>
      <c r="AB15" s="271"/>
      <c r="AE15" s="41"/>
      <c r="AJ15" s="272"/>
      <c r="AK15" s="286"/>
      <c r="AL15" s="274"/>
      <c r="AM15" s="278"/>
      <c r="AN15" s="278"/>
      <c r="AP15" s="276"/>
      <c r="AQ15" s="277"/>
    </row>
    <row r="16" spans="1:46" hidden="1" x14ac:dyDescent="0.25">
      <c r="B16" t="s">
        <v>74</v>
      </c>
      <c r="C16" s="53">
        <v>42607</v>
      </c>
      <c r="D16" s="54" t="s">
        <v>11</v>
      </c>
      <c r="E16" s="55">
        <v>42542</v>
      </c>
      <c r="F16" s="56">
        <f t="shared" si="1"/>
        <v>65</v>
      </c>
      <c r="G16" s="61">
        <v>42607</v>
      </c>
      <c r="H16" s="55" t="s">
        <v>13</v>
      </c>
      <c r="I16" s="55" t="s">
        <v>14</v>
      </c>
      <c r="J16" s="55"/>
      <c r="K16" s="58">
        <f>35000*0</f>
        <v>0</v>
      </c>
      <c r="L16" s="59">
        <v>26174</v>
      </c>
      <c r="M16" s="62">
        <v>0</v>
      </c>
      <c r="N16" s="60">
        <f t="shared" si="8"/>
        <v>0</v>
      </c>
      <c r="R16" s="3">
        <f t="shared" si="9"/>
        <v>0</v>
      </c>
      <c r="S16" s="3">
        <f t="shared" si="12"/>
        <v>0</v>
      </c>
      <c r="X16" s="36" t="s">
        <v>303</v>
      </c>
    </row>
    <row r="17" spans="3:40" x14ac:dyDescent="0.25">
      <c r="X17" s="36"/>
    </row>
    <row r="18" spans="3:40" x14ac:dyDescent="0.25">
      <c r="N18" s="38">
        <f>SUM(N7:N17)</f>
        <v>9492840.0000004768</v>
      </c>
      <c r="P18" s="313">
        <f>SUM(P12:P15)</f>
        <v>9482320.9452981502</v>
      </c>
    </row>
    <row r="19" spans="3:40" x14ac:dyDescent="0.25">
      <c r="R19" s="3">
        <f>SUM(R6:R18)</f>
        <v>9866955</v>
      </c>
      <c r="S19" s="3">
        <f>SUM(S6:S18)</f>
        <v>9857462.1600000001</v>
      </c>
    </row>
    <row r="20" spans="3:40" x14ac:dyDescent="0.25">
      <c r="C20" s="18"/>
      <c r="E20" s="18"/>
      <c r="M20" s="33"/>
    </row>
    <row r="21" spans="3:40" x14ac:dyDescent="0.25">
      <c r="E21" s="20">
        <f ca="1">TODAY()+73</f>
        <v>43311</v>
      </c>
    </row>
    <row r="23" spans="3:40" x14ac:dyDescent="0.25">
      <c r="G23" s="20"/>
      <c r="I23" s="20"/>
    </row>
    <row r="24" spans="3:40" ht="15.75" thickBot="1" x14ac:dyDescent="0.3">
      <c r="G24" s="36"/>
      <c r="H24" s="36"/>
      <c r="L24" s="335" t="str">
        <f>IF(P24&gt;0,"Derecho FWD","Obligación FWD")</f>
        <v>Derecho FWD</v>
      </c>
      <c r="M24" s="335" t="str">
        <f>IF(O24&gt;0,"Derecho FWD","Obligación FWD")</f>
        <v>Obligación FWD</v>
      </c>
      <c r="P24" s="34">
        <f>+P18</f>
        <v>9482320.9452981502</v>
      </c>
    </row>
    <row r="25" spans="3:40" x14ac:dyDescent="0.25">
      <c r="G25" s="36"/>
      <c r="H25" s="36"/>
      <c r="X25" s="337" t="s">
        <v>318</v>
      </c>
      <c r="Y25" s="338"/>
      <c r="Z25" s="338"/>
      <c r="AA25" s="338"/>
      <c r="AB25" s="338"/>
      <c r="AC25" s="338"/>
      <c r="AD25" s="338"/>
      <c r="AE25" s="338"/>
      <c r="AF25" s="338"/>
      <c r="AG25" s="338"/>
      <c r="AH25" s="339"/>
      <c r="AM25" s="41">
        <f>+ROUND(AM12,0)</f>
        <v>2656094</v>
      </c>
      <c r="AN25" s="41">
        <f>+ROUND(AN12,0)</f>
        <v>2653932</v>
      </c>
    </row>
    <row r="26" spans="3:40" x14ac:dyDescent="0.25">
      <c r="G26" s="36"/>
      <c r="H26" s="36"/>
      <c r="X26" s="280" t="str">
        <f>+X12&amp;Y12&amp;Z12&amp;AA12&amp;AB12&amp;AC12&amp;AD12&amp;AE12&amp;AF12&amp;AG12&amp;AH12</f>
        <v>2UF             FORWARD             $$             20180601$$             CLV000009800000000271030000026560940002653932</v>
      </c>
      <c r="Y26" s="279"/>
      <c r="Z26" s="279"/>
      <c r="AA26" s="279"/>
      <c r="AB26" s="279"/>
      <c r="AC26" s="279"/>
      <c r="AD26" s="279"/>
      <c r="AE26" s="279"/>
      <c r="AF26" s="279"/>
      <c r="AG26" s="279"/>
      <c r="AH26" s="281"/>
    </row>
    <row r="27" spans="3:40" x14ac:dyDescent="0.25">
      <c r="X27" s="280" t="str">
        <f>3&amp;"00000000"&amp;3&amp;"00000"&amp;AM25&amp;"00000"&amp;AN25</f>
        <v>3000000003000002656094000002653932</v>
      </c>
      <c r="Y27" s="279"/>
      <c r="Z27" s="279"/>
      <c r="AA27" s="279"/>
      <c r="AB27" s="279"/>
      <c r="AC27" s="279"/>
      <c r="AD27" s="279"/>
      <c r="AE27" s="279"/>
      <c r="AF27" s="279"/>
      <c r="AG27" s="279"/>
      <c r="AH27" s="281"/>
    </row>
    <row r="28" spans="3:40" x14ac:dyDescent="0.25">
      <c r="X28" s="340"/>
      <c r="Y28" s="341"/>
      <c r="Z28" s="341"/>
      <c r="AA28" s="341"/>
      <c r="AB28" s="341"/>
      <c r="AC28" s="341"/>
      <c r="AD28" s="341"/>
      <c r="AE28" s="341"/>
      <c r="AF28" s="341"/>
      <c r="AG28" s="341"/>
      <c r="AH28" s="342"/>
    </row>
    <row r="29" spans="3:40" ht="15.75" thickBot="1" x14ac:dyDescent="0.3">
      <c r="X29" s="282"/>
      <c r="Y29" s="283"/>
      <c r="Z29" s="283"/>
      <c r="AA29" s="283"/>
      <c r="AB29" s="283"/>
      <c r="AC29" s="283"/>
      <c r="AD29" s="283"/>
      <c r="AE29" s="283"/>
      <c r="AF29" s="283"/>
      <c r="AG29" s="283"/>
      <c r="AH29" s="284"/>
    </row>
    <row r="31" spans="3:40" x14ac:dyDescent="0.25">
      <c r="X31" s="36">
        <v>3.00000000030002E+30</v>
      </c>
    </row>
    <row r="34" spans="14:14" x14ac:dyDescent="0.25">
      <c r="N34" s="268"/>
    </row>
    <row r="36" spans="14:14" x14ac:dyDescent="0.25">
      <c r="N36" s="295"/>
    </row>
  </sheetData>
  <mergeCells count="4">
    <mergeCell ref="L24:M24"/>
    <mergeCell ref="X5:AH5"/>
    <mergeCell ref="X25:AH25"/>
    <mergeCell ref="X28:AH28"/>
  </mergeCells>
  <conditionalFormatting sqref="G1:G5 G17:G1048576">
    <cfRule type="cellIs" dxfId="47" priority="19" operator="equal">
      <formula>TODAY()</formula>
    </cfRule>
  </conditionalFormatting>
  <conditionalFormatting sqref="C1:C3">
    <cfRule type="cellIs" dxfId="46" priority="16" stopIfTrue="1" operator="equal">
      <formula>TODAY()+1</formula>
    </cfRule>
    <cfRule type="cellIs" dxfId="45" priority="17" stopIfTrue="1" operator="equal">
      <formula>TODAY()-1</formula>
    </cfRule>
    <cfRule type="cellIs" dxfId="44" priority="18" stopIfTrue="1" operator="equal">
      <formula>TODAY()</formula>
    </cfRule>
  </conditionalFormatting>
  <conditionalFormatting sqref="G7:G12 G16">
    <cfRule type="cellIs" dxfId="43" priority="13" stopIfTrue="1" operator="equal">
      <formula>TODAY()+1</formula>
    </cfRule>
    <cfRule type="cellIs" dxfId="42" priority="14" stopIfTrue="1" operator="equal">
      <formula>TODAY()-1</formula>
    </cfRule>
    <cfRule type="cellIs" dxfId="41" priority="15" stopIfTrue="1" operator="equal">
      <formula>TODAY()</formula>
    </cfRule>
  </conditionalFormatting>
  <conditionalFormatting sqref="G6">
    <cfRule type="cellIs" dxfId="40" priority="10" stopIfTrue="1" operator="equal">
      <formula>TODAY()+1</formula>
    </cfRule>
    <cfRule type="cellIs" dxfId="39" priority="11" stopIfTrue="1" operator="equal">
      <formula>TODAY()-1</formula>
    </cfRule>
    <cfRule type="cellIs" dxfId="38" priority="12" stopIfTrue="1" operator="equal">
      <formula>TODAY()</formula>
    </cfRule>
  </conditionalFormatting>
  <conditionalFormatting sqref="G13">
    <cfRule type="cellIs" dxfId="37" priority="7" stopIfTrue="1" operator="equal">
      <formula>TODAY()+1</formula>
    </cfRule>
    <cfRule type="cellIs" dxfId="36" priority="8" stopIfTrue="1" operator="equal">
      <formula>TODAY()-1</formula>
    </cfRule>
    <cfRule type="cellIs" dxfId="35" priority="9" stopIfTrue="1" operator="equal">
      <formula>TODAY()</formula>
    </cfRule>
  </conditionalFormatting>
  <conditionalFormatting sqref="G14">
    <cfRule type="cellIs" dxfId="34" priority="4" stopIfTrue="1" operator="equal">
      <formula>TODAY()+1</formula>
    </cfRule>
    <cfRule type="cellIs" dxfId="33" priority="5" stopIfTrue="1" operator="equal">
      <formula>TODAY()-1</formula>
    </cfRule>
    <cfRule type="cellIs" dxfId="32" priority="6" stopIfTrue="1" operator="equal">
      <formula>TODAY()</formula>
    </cfRule>
  </conditionalFormatting>
  <conditionalFormatting sqref="G15">
    <cfRule type="cellIs" dxfId="31" priority="1" stopIfTrue="1" operator="equal">
      <formula>TODAY()+1</formula>
    </cfRule>
    <cfRule type="cellIs" dxfId="30" priority="2" stopIfTrue="1" operator="equal">
      <formula>TODAY()-1</formula>
    </cfRule>
    <cfRule type="cellIs" dxfId="29" priority="3" stopIfTrue="1" operator="equal">
      <formula>TODAY()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>
    <tabColor rgb="FF92D050"/>
  </sheetPr>
  <dimension ref="A3:M71"/>
  <sheetViews>
    <sheetView zoomScale="85" zoomScaleNormal="85" workbookViewId="0">
      <selection activeCell="C12" sqref="C12"/>
    </sheetView>
  </sheetViews>
  <sheetFormatPr baseColWidth="10" defaultRowHeight="15" x14ac:dyDescent="0.25"/>
  <cols>
    <col min="1" max="1" width="12.85546875" customWidth="1"/>
    <col min="2" max="2" width="22.140625" bestFit="1" customWidth="1"/>
    <col min="3" max="3" width="18.28515625" bestFit="1" customWidth="1"/>
    <col min="4" max="4" width="40.42578125" customWidth="1"/>
    <col min="5" max="5" width="21" bestFit="1" customWidth="1"/>
    <col min="6" max="6" width="16.42578125" bestFit="1" customWidth="1"/>
    <col min="7" max="7" width="6.5703125" bestFit="1" customWidth="1"/>
    <col min="8" max="8" width="18.85546875" bestFit="1" customWidth="1"/>
    <col min="9" max="9" width="14" bestFit="1" customWidth="1"/>
    <col min="10" max="10" width="12.140625" bestFit="1" customWidth="1"/>
    <col min="11" max="11" width="16.42578125" bestFit="1" customWidth="1"/>
    <col min="12" max="12" width="17.140625" bestFit="1" customWidth="1"/>
    <col min="13" max="13" width="17.5703125" customWidth="1"/>
  </cols>
  <sheetData>
    <row r="3" spans="1:13" x14ac:dyDescent="0.25">
      <c r="B3" s="343" t="s">
        <v>52</v>
      </c>
      <c r="C3" s="343"/>
      <c r="H3" s="31" t="s">
        <v>69</v>
      </c>
      <c r="I3" t="s">
        <v>13</v>
      </c>
    </row>
    <row r="4" spans="1:13" ht="8.25" customHeight="1" x14ac:dyDescent="0.25">
      <c r="C4" s="33"/>
    </row>
    <row r="5" spans="1:13" x14ac:dyDescent="0.25">
      <c r="A5" s="36" t="str">
        <f ca="1">PROPER((TEXT(A6,"DDDD")))</f>
        <v>Viernes</v>
      </c>
      <c r="B5" s="22" t="s">
        <v>44</v>
      </c>
      <c r="C5" s="69">
        <v>4704194394</v>
      </c>
      <c r="D5" s="242" t="str">
        <f t="shared" ref="D5:D7" si="0">+"Folio "&amp;G5</f>
        <v>Folio 80436</v>
      </c>
      <c r="E5" s="242" t="s">
        <v>301</v>
      </c>
      <c r="F5" s="240" t="s">
        <v>300</v>
      </c>
      <c r="G5" s="291">
        <v>80436</v>
      </c>
      <c r="H5" s="292">
        <v>4704194394</v>
      </c>
      <c r="I5" s="63">
        <v>171000</v>
      </c>
      <c r="L5" s="41"/>
    </row>
    <row r="6" spans="1:13" x14ac:dyDescent="0.25">
      <c r="A6" s="20">
        <f ca="1">TODAY()</f>
        <v>43238</v>
      </c>
      <c r="B6" s="22" t="s">
        <v>47</v>
      </c>
      <c r="C6" s="69">
        <v>2612919320</v>
      </c>
      <c r="D6" s="242" t="str">
        <f t="shared" si="0"/>
        <v>Folio 80262</v>
      </c>
      <c r="E6" s="242" t="s">
        <v>321</v>
      </c>
      <c r="F6" s="240" t="s">
        <v>322</v>
      </c>
      <c r="G6" s="36">
        <v>80262</v>
      </c>
      <c r="H6" s="292">
        <v>2612919320</v>
      </c>
      <c r="I6" s="63">
        <v>15000</v>
      </c>
    </row>
    <row r="7" spans="1:13" x14ac:dyDescent="0.25">
      <c r="B7" s="22" t="s">
        <v>48</v>
      </c>
      <c r="C7" s="69">
        <v>2692289179</v>
      </c>
      <c r="D7" s="242" t="str">
        <f t="shared" si="0"/>
        <v>Folio 79942</v>
      </c>
      <c r="E7" s="43" t="s">
        <v>323</v>
      </c>
      <c r="F7" s="240" t="s">
        <v>300</v>
      </c>
      <c r="G7" s="36">
        <v>79942</v>
      </c>
      <c r="H7" s="292">
        <v>2692289179</v>
      </c>
      <c r="I7" s="63">
        <v>95000</v>
      </c>
      <c r="L7" s="41"/>
    </row>
    <row r="8" spans="1:13" x14ac:dyDescent="0.25">
      <c r="B8" s="22" t="s">
        <v>73</v>
      </c>
      <c r="C8" s="289"/>
      <c r="D8" t="s">
        <v>330</v>
      </c>
      <c r="E8" s="36" t="s">
        <v>323</v>
      </c>
      <c r="F8" s="20" t="s">
        <v>300</v>
      </c>
      <c r="G8" s="36">
        <v>80140</v>
      </c>
      <c r="H8" s="292"/>
      <c r="I8" s="63">
        <v>98000</v>
      </c>
      <c r="L8" s="294">
        <f>SUM(H5:H8)</f>
        <v>10009402893</v>
      </c>
      <c r="M8" s="41"/>
    </row>
    <row r="9" spans="1:13" x14ac:dyDescent="0.25">
      <c r="B9" s="22" t="s">
        <v>75</v>
      </c>
      <c r="C9" s="21"/>
      <c r="D9" s="36"/>
      <c r="E9" s="42"/>
      <c r="F9" s="20"/>
      <c r="G9" s="36"/>
    </row>
    <row r="10" spans="1:13" x14ac:dyDescent="0.25">
      <c r="B10" s="22" t="s">
        <v>51</v>
      </c>
      <c r="C10" s="269">
        <f>+'FWD LIquidez'!P24</f>
        <v>9482320.9452981502</v>
      </c>
      <c r="D10" t="s">
        <v>53</v>
      </c>
      <c r="H10" s="30">
        <f>SUM(H5:H9)</f>
        <v>10009402893</v>
      </c>
    </row>
    <row r="11" spans="1:13" x14ac:dyDescent="0.25">
      <c r="B11" s="23" t="s">
        <v>45</v>
      </c>
      <c r="C11" s="24">
        <f>SUM(C5:C10)</f>
        <v>10018885213.945297</v>
      </c>
      <c r="D11" s="33"/>
      <c r="E11" s="16"/>
      <c r="I11" s="3"/>
      <c r="J11" s="15"/>
    </row>
    <row r="12" spans="1:13" x14ac:dyDescent="0.25">
      <c r="B12" s="27" t="s">
        <v>46</v>
      </c>
      <c r="C12" s="28">
        <f>+'Sintetico Liquidez'!A104-'R° Sintetico Liquidez'!C11</f>
        <v>2598824.981086731</v>
      </c>
      <c r="D12" s="3"/>
      <c r="E12" s="3"/>
      <c r="H12" s="32"/>
    </row>
    <row r="13" spans="1:13" x14ac:dyDescent="0.25">
      <c r="C13" s="288">
        <f>+C10+C12</f>
        <v>12081145.926384881</v>
      </c>
      <c r="E13" s="3">
        <v>12102094</v>
      </c>
      <c r="F13" s="3">
        <f>+C13-E13</f>
        <v>-20948.073615118861</v>
      </c>
      <c r="H13" s="295"/>
      <c r="K13" s="16"/>
    </row>
    <row r="14" spans="1:13" x14ac:dyDescent="0.25">
      <c r="C14" s="25"/>
      <c r="D14" s="3"/>
      <c r="K14" s="16"/>
    </row>
    <row r="15" spans="1:13" x14ac:dyDescent="0.25">
      <c r="B15" s="343" t="s">
        <v>52</v>
      </c>
      <c r="C15" s="343"/>
      <c r="K15" s="16"/>
    </row>
    <row r="17" spans="1:8" x14ac:dyDescent="0.25">
      <c r="A17" s="36" t="str">
        <f ca="1">PROPER((TEXT(A18,"DDDD")))</f>
        <v>Sábado</v>
      </c>
      <c r="B17" s="22" t="s">
        <v>44</v>
      </c>
      <c r="C17" s="21"/>
      <c r="D17" s="242" t="s">
        <v>302</v>
      </c>
      <c r="E17" s="242" t="s">
        <v>301</v>
      </c>
      <c r="F17" s="240" t="s">
        <v>300</v>
      </c>
      <c r="G17" s="291">
        <v>80436</v>
      </c>
      <c r="H17" s="292">
        <v>9995096048</v>
      </c>
    </row>
    <row r="18" spans="1:8" x14ac:dyDescent="0.25">
      <c r="A18" s="20">
        <f ca="1">TODAY()+1</f>
        <v>43239</v>
      </c>
      <c r="B18" s="22" t="s">
        <v>47</v>
      </c>
      <c r="C18" s="21"/>
      <c r="D18" s="68"/>
      <c r="E18" s="242" t="s">
        <v>321</v>
      </c>
      <c r="F18" s="240" t="s">
        <v>322</v>
      </c>
      <c r="G18" s="36">
        <v>80262</v>
      </c>
      <c r="H18" s="292">
        <v>412101446</v>
      </c>
    </row>
    <row r="19" spans="1:8" x14ac:dyDescent="0.25">
      <c r="B19" s="22" t="s">
        <v>48</v>
      </c>
      <c r="C19" s="21"/>
      <c r="D19" s="68"/>
      <c r="E19" s="43" t="s">
        <v>323</v>
      </c>
      <c r="F19" s="240" t="s">
        <v>300</v>
      </c>
      <c r="G19" s="36">
        <v>79942</v>
      </c>
      <c r="H19" s="292"/>
    </row>
    <row r="20" spans="1:8" x14ac:dyDescent="0.25">
      <c r="B20" s="22" t="s">
        <v>73</v>
      </c>
      <c r="C20" s="21"/>
      <c r="D20" s="36"/>
      <c r="E20" s="36" t="s">
        <v>323</v>
      </c>
      <c r="F20" s="20" t="s">
        <v>300</v>
      </c>
      <c r="G20" s="36">
        <v>80140</v>
      </c>
      <c r="H20" s="292"/>
    </row>
    <row r="21" spans="1:8" x14ac:dyDescent="0.25">
      <c r="B21" s="22" t="s">
        <v>75</v>
      </c>
      <c r="C21" s="21"/>
      <c r="D21" s="42"/>
      <c r="E21" s="42"/>
      <c r="F21" s="43"/>
      <c r="G21" s="36"/>
      <c r="H21" s="30"/>
    </row>
    <row r="22" spans="1:8" x14ac:dyDescent="0.25">
      <c r="B22" s="22" t="s">
        <v>51</v>
      </c>
      <c r="C22" s="21">
        <f>+C13</f>
        <v>12081145.926384881</v>
      </c>
      <c r="D22" t="s">
        <v>53</v>
      </c>
    </row>
    <row r="23" spans="1:8" x14ac:dyDescent="0.25">
      <c r="B23" s="23" t="s">
        <v>45</v>
      </c>
      <c r="C23" s="24">
        <f>SUM(C17:C22)</f>
        <v>12081145.926384881</v>
      </c>
    </row>
    <row r="24" spans="1:8" x14ac:dyDescent="0.25">
      <c r="B24" s="27" t="s">
        <v>46</v>
      </c>
      <c r="C24" s="28">
        <f>+'Sintetico Liquidez'!A100-'R° Sintetico Liquidez'!C23</f>
        <v>10005897606.392427</v>
      </c>
      <c r="H24" s="32">
        <f>+H17-C25</f>
        <v>-22882704.318811417</v>
      </c>
    </row>
    <row r="25" spans="1:8" ht="14.25" customHeight="1" x14ac:dyDescent="0.25">
      <c r="C25" s="25">
        <f>+C22+C24</f>
        <v>10017978752.318811</v>
      </c>
      <c r="D25" s="3"/>
      <c r="E25" s="3">
        <v>13154344</v>
      </c>
      <c r="F25" s="3">
        <f>+C25-E25</f>
        <v>10004824408.318811</v>
      </c>
      <c r="H25" s="295">
        <f>+F25-C25</f>
        <v>-13154344</v>
      </c>
    </row>
    <row r="26" spans="1:8" ht="14.25" customHeight="1" x14ac:dyDescent="0.25">
      <c r="C26" s="3"/>
      <c r="D26" s="16"/>
    </row>
    <row r="27" spans="1:8" x14ac:dyDescent="0.25">
      <c r="B27" s="343" t="s">
        <v>52</v>
      </c>
      <c r="C27" s="343"/>
    </row>
    <row r="29" spans="1:8" x14ac:dyDescent="0.25">
      <c r="A29" s="36" t="str">
        <f ca="1">PROPER((TEXT(A30,"DDDD")))</f>
        <v>Domingo</v>
      </c>
      <c r="B29" s="22" t="s">
        <v>44</v>
      </c>
      <c r="C29" s="21"/>
      <c r="D29" s="242" t="s">
        <v>302</v>
      </c>
      <c r="E29" s="242" t="s">
        <v>301</v>
      </c>
      <c r="F29" s="240" t="s">
        <v>300</v>
      </c>
      <c r="G29" s="291">
        <v>80436</v>
      </c>
      <c r="H29" s="292">
        <v>411576611</v>
      </c>
    </row>
    <row r="30" spans="1:8" x14ac:dyDescent="0.25">
      <c r="A30" s="20">
        <f ca="1">TODAY()+2</f>
        <v>43240</v>
      </c>
      <c r="B30" s="22" t="s">
        <v>47</v>
      </c>
      <c r="C30" s="21"/>
      <c r="D30" s="68"/>
      <c r="E30" s="242" t="s">
        <v>321</v>
      </c>
      <c r="F30" s="240" t="s">
        <v>322</v>
      </c>
      <c r="G30" s="36">
        <v>80262</v>
      </c>
      <c r="H30" s="292">
        <v>9982336594</v>
      </c>
    </row>
    <row r="31" spans="1:8" x14ac:dyDescent="0.25">
      <c r="B31" s="22" t="s">
        <v>48</v>
      </c>
      <c r="C31" s="21"/>
      <c r="D31" s="68"/>
      <c r="E31" s="43" t="s">
        <v>323</v>
      </c>
      <c r="F31" s="240" t="s">
        <v>300</v>
      </c>
      <c r="G31" s="36">
        <v>79942</v>
      </c>
      <c r="H31" s="292"/>
    </row>
    <row r="32" spans="1:8" x14ac:dyDescent="0.25">
      <c r="B32" s="22" t="s">
        <v>73</v>
      </c>
      <c r="C32" s="21"/>
      <c r="D32" s="36"/>
      <c r="E32" s="36" t="s">
        <v>323</v>
      </c>
      <c r="F32" s="20" t="s">
        <v>300</v>
      </c>
      <c r="G32" s="36">
        <v>80140</v>
      </c>
      <c r="H32" s="292"/>
    </row>
    <row r="33" spans="1:9" x14ac:dyDescent="0.25">
      <c r="B33" s="22" t="s">
        <v>75</v>
      </c>
      <c r="C33" s="21"/>
      <c r="D33" s="42"/>
      <c r="E33" s="42"/>
      <c r="F33" s="43"/>
      <c r="G33" s="36"/>
      <c r="H33" s="30"/>
    </row>
    <row r="34" spans="1:9" x14ac:dyDescent="0.25">
      <c r="B34" s="22" t="s">
        <v>51</v>
      </c>
      <c r="C34" s="21">
        <f>+C25</f>
        <v>10017978752.318811</v>
      </c>
      <c r="D34" t="s">
        <v>53</v>
      </c>
    </row>
    <row r="35" spans="1:9" x14ac:dyDescent="0.25">
      <c r="B35" s="23" t="s">
        <v>45</v>
      </c>
      <c r="C35" s="24">
        <f>SUM(C29:C34)</f>
        <v>10017978752.318811</v>
      </c>
    </row>
    <row r="36" spans="1:9" x14ac:dyDescent="0.25">
      <c r="B36" s="27" t="s">
        <v>46</v>
      </c>
      <c r="C36" s="28">
        <f>+'Sintetico Liquidez'!A101-'R° Sintetico Liquidez'!C35</f>
        <v>876091.0936870575</v>
      </c>
      <c r="F36" s="3"/>
      <c r="H36" s="32">
        <f>+H29-C37</f>
        <v>-9607278232.4124985</v>
      </c>
    </row>
    <row r="37" spans="1:9" x14ac:dyDescent="0.25">
      <c r="C37" s="25">
        <f>+C34+C36</f>
        <v>10018854843.412498</v>
      </c>
      <c r="E37" s="3"/>
      <c r="F37" s="3">
        <v>13136486</v>
      </c>
      <c r="H37" s="295">
        <f>+F37-C37</f>
        <v>-10005718357.412498</v>
      </c>
    </row>
    <row r="38" spans="1:9" x14ac:dyDescent="0.25">
      <c r="C38" s="16"/>
    </row>
    <row r="39" spans="1:9" hidden="1" x14ac:dyDescent="0.25"/>
    <row r="40" spans="1:9" hidden="1" x14ac:dyDescent="0.25">
      <c r="A40" s="36" t="str">
        <f ca="1">PROPER((TEXT(A41,"DDDD")))</f>
        <v>Lunes</v>
      </c>
      <c r="B40" s="22" t="s">
        <v>44</v>
      </c>
      <c r="C40" s="21"/>
      <c r="D40" s="42"/>
      <c r="E40" s="242" t="s">
        <v>301</v>
      </c>
      <c r="F40" s="240" t="s">
        <v>300</v>
      </c>
      <c r="G40" s="291">
        <v>80436</v>
      </c>
      <c r="H40" s="292">
        <v>2602654174</v>
      </c>
      <c r="I40" t="s">
        <v>70</v>
      </c>
    </row>
    <row r="41" spans="1:9" hidden="1" x14ac:dyDescent="0.25">
      <c r="A41" s="20">
        <f ca="1">TODAY()+3</f>
        <v>43241</v>
      </c>
      <c r="B41" s="22" t="s">
        <v>47</v>
      </c>
      <c r="C41" s="21"/>
      <c r="D41" s="42"/>
      <c r="E41" s="242" t="s">
        <v>321</v>
      </c>
      <c r="F41" s="240" t="s">
        <v>322</v>
      </c>
      <c r="G41" s="36">
        <v>80262</v>
      </c>
      <c r="H41" s="292">
        <v>4687575509</v>
      </c>
      <c r="I41" t="s">
        <v>71</v>
      </c>
    </row>
    <row r="42" spans="1:9" hidden="1" x14ac:dyDescent="0.25">
      <c r="B42" s="22" t="s">
        <v>48</v>
      </c>
      <c r="C42" s="21"/>
      <c r="D42" s="42"/>
      <c r="E42" s="43" t="s">
        <v>323</v>
      </c>
      <c r="F42" s="240" t="s">
        <v>300</v>
      </c>
      <c r="G42" s="36">
        <v>79942</v>
      </c>
      <c r="H42" s="292">
        <v>2684999404</v>
      </c>
    </row>
    <row r="43" spans="1:9" hidden="1" x14ac:dyDescent="0.25">
      <c r="B43" s="22" t="s">
        <v>73</v>
      </c>
      <c r="C43" s="21"/>
      <c r="D43" s="36"/>
      <c r="E43" s="36" t="s">
        <v>323</v>
      </c>
      <c r="F43" s="20" t="s">
        <v>300</v>
      </c>
      <c r="G43" s="36">
        <v>80140</v>
      </c>
      <c r="H43" s="292">
        <v>411261888</v>
      </c>
    </row>
    <row r="44" spans="1:9" hidden="1" x14ac:dyDescent="0.25">
      <c r="B44" s="22" t="s">
        <v>75</v>
      </c>
      <c r="C44" s="21"/>
      <c r="D44" s="42"/>
      <c r="E44" s="42"/>
      <c r="F44" s="43"/>
      <c r="G44" s="36"/>
      <c r="H44" s="30"/>
    </row>
    <row r="45" spans="1:9" hidden="1" x14ac:dyDescent="0.25">
      <c r="B45" s="22" t="s">
        <v>51</v>
      </c>
      <c r="C45" s="21">
        <f>+C37</f>
        <v>10018854843.412498</v>
      </c>
      <c r="D45" t="s">
        <v>53</v>
      </c>
    </row>
    <row r="46" spans="1:9" hidden="1" x14ac:dyDescent="0.25">
      <c r="B46" s="23" t="s">
        <v>45</v>
      </c>
      <c r="C46" s="24">
        <f>SUM(C40:C45)</f>
        <v>10018854843.412498</v>
      </c>
    </row>
    <row r="47" spans="1:9" hidden="1" x14ac:dyDescent="0.25">
      <c r="B47" s="27" t="s">
        <v>46</v>
      </c>
      <c r="C47" s="28">
        <f>+'Sintetico Liquidez'!A59-'R° Sintetico Liquidez'!C46</f>
        <v>375139328.18963051</v>
      </c>
      <c r="H47" s="32">
        <f>+H42-C48</f>
        <v>-7708994767.602129</v>
      </c>
    </row>
    <row r="48" spans="1:9" hidden="1" x14ac:dyDescent="0.25">
      <c r="C48" s="25">
        <f>+C45+C47</f>
        <v>10393994171.602129</v>
      </c>
    </row>
    <row r="49" spans="1:9" hidden="1" x14ac:dyDescent="0.25">
      <c r="C49" s="3"/>
      <c r="D49" s="16"/>
    </row>
    <row r="50" spans="1:9" hidden="1" x14ac:dyDescent="0.25"/>
    <row r="51" spans="1:9" s="36" customFormat="1" hidden="1" x14ac:dyDescent="0.25">
      <c r="A51" s="36" t="s">
        <v>100</v>
      </c>
      <c r="B51" s="22" t="s">
        <v>44</v>
      </c>
      <c r="C51" s="21"/>
      <c r="D51" s="42"/>
      <c r="E51" s="42"/>
      <c r="F51" s="43"/>
      <c r="H51" s="16">
        <f>SUM(C51:C55)</f>
        <v>0</v>
      </c>
      <c r="I51" s="36" t="s">
        <v>70</v>
      </c>
    </row>
    <row r="52" spans="1:9" s="36" customFormat="1" hidden="1" x14ac:dyDescent="0.25">
      <c r="B52" s="22" t="s">
        <v>47</v>
      </c>
      <c r="C52" s="21"/>
      <c r="D52" s="42"/>
      <c r="E52" s="42"/>
      <c r="F52" s="43"/>
      <c r="H52" s="15">
        <f>+'Sintetico Liquidez'!A196</f>
        <v>0</v>
      </c>
      <c r="I52" s="36" t="s">
        <v>71</v>
      </c>
    </row>
    <row r="53" spans="1:9" s="36" customFormat="1" hidden="1" x14ac:dyDescent="0.25">
      <c r="B53" s="22" t="s">
        <v>48</v>
      </c>
      <c r="C53" s="21"/>
      <c r="D53" s="42"/>
      <c r="E53" s="42"/>
      <c r="F53" s="43"/>
      <c r="H53" s="30">
        <f>+H52-H51</f>
        <v>0</v>
      </c>
    </row>
    <row r="54" spans="1:9" s="36" customFormat="1" hidden="1" x14ac:dyDescent="0.25">
      <c r="B54" s="22" t="s">
        <v>73</v>
      </c>
      <c r="C54" s="21"/>
      <c r="F54" s="20"/>
      <c r="H54" s="30"/>
    </row>
    <row r="55" spans="1:9" s="36" customFormat="1" hidden="1" x14ac:dyDescent="0.25">
      <c r="B55" s="22" t="s">
        <v>75</v>
      </c>
      <c r="C55" s="21"/>
      <c r="D55" s="42"/>
      <c r="E55" s="42"/>
      <c r="F55" s="43"/>
      <c r="H55" s="30"/>
    </row>
    <row r="56" spans="1:9" s="36" customFormat="1" hidden="1" x14ac:dyDescent="0.25">
      <c r="B56" s="22" t="s">
        <v>51</v>
      </c>
      <c r="C56" s="21">
        <f>+C48</f>
        <v>10393994171.602129</v>
      </c>
      <c r="D56" s="36" t="s">
        <v>53</v>
      </c>
    </row>
    <row r="57" spans="1:9" s="36" customFormat="1" hidden="1" x14ac:dyDescent="0.25">
      <c r="B57" s="23" t="s">
        <v>45</v>
      </c>
      <c r="C57" s="24">
        <f>SUM(C51:C56)</f>
        <v>10393994171.602129</v>
      </c>
    </row>
    <row r="58" spans="1:9" s="36" customFormat="1" hidden="1" x14ac:dyDescent="0.25">
      <c r="B58" s="27" t="s">
        <v>46</v>
      </c>
      <c r="C58" s="28">
        <f>+'Sintetico Liquidez'!A196-'R° Sintetico Liquidez'!C57</f>
        <v>-10393994171.602129</v>
      </c>
      <c r="H58" s="32">
        <f>+H53-C59</f>
        <v>0</v>
      </c>
    </row>
    <row r="59" spans="1:9" s="36" customFormat="1" hidden="1" x14ac:dyDescent="0.25">
      <c r="C59" s="25">
        <f>+C56+C58</f>
        <v>0</v>
      </c>
    </row>
    <row r="60" spans="1:9" hidden="1" x14ac:dyDescent="0.25">
      <c r="C60" s="3"/>
    </row>
    <row r="61" spans="1:9" hidden="1" x14ac:dyDescent="0.25"/>
    <row r="62" spans="1:9" hidden="1" x14ac:dyDescent="0.25"/>
    <row r="63" spans="1:9" hidden="1" x14ac:dyDescent="0.25"/>
    <row r="64" spans="1:9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</sheetData>
  <mergeCells count="3">
    <mergeCell ref="B3:C3"/>
    <mergeCell ref="B15:C15"/>
    <mergeCell ref="B27:C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BH598"/>
  <sheetViews>
    <sheetView topLeftCell="A86" zoomScale="80" zoomScaleNormal="80" workbookViewId="0">
      <selection activeCell="A104" sqref="A104"/>
    </sheetView>
  </sheetViews>
  <sheetFormatPr baseColWidth="10" defaultRowHeight="15" x14ac:dyDescent="0.25"/>
  <cols>
    <col min="1" max="1" width="18.85546875" bestFit="1" customWidth="1"/>
    <col min="3" max="3" width="1.42578125" style="6" hidden="1" customWidth="1"/>
    <col min="4" max="4" width="9.42578125" hidden="1" customWidth="1"/>
    <col min="5" max="5" width="18" hidden="1" customWidth="1"/>
    <col min="6" max="6" width="15.7109375" hidden="1" customWidth="1"/>
    <col min="7" max="7" width="16" hidden="1" customWidth="1"/>
    <col min="8" max="8" width="1.42578125" style="6" hidden="1" customWidth="1"/>
    <col min="9" max="9" width="9.5703125" hidden="1" customWidth="1"/>
    <col min="10" max="10" width="19.140625" hidden="1" customWidth="1"/>
    <col min="11" max="11" width="17.85546875" hidden="1" customWidth="1"/>
    <col min="12" max="12" width="16" hidden="1" customWidth="1"/>
    <col min="13" max="13" width="1.7109375" style="6" hidden="1" customWidth="1"/>
    <col min="14" max="14" width="10" hidden="1" customWidth="1"/>
    <col min="15" max="15" width="18.85546875" hidden="1" customWidth="1"/>
    <col min="16" max="16" width="17.85546875" hidden="1" customWidth="1"/>
    <col min="17" max="17" width="16" hidden="1" customWidth="1"/>
    <col min="18" max="18" width="1.7109375" style="6" hidden="1" customWidth="1"/>
    <col min="19" max="19" width="10" hidden="1" customWidth="1"/>
    <col min="20" max="20" width="18.85546875" hidden="1" customWidth="1"/>
    <col min="21" max="21" width="17.85546875" hidden="1" customWidth="1"/>
    <col min="22" max="22" width="18" hidden="1" customWidth="1"/>
    <col min="23" max="23" width="2.42578125" style="6" hidden="1" customWidth="1"/>
    <col min="24" max="24" width="10" hidden="1" customWidth="1"/>
    <col min="25" max="25" width="18.85546875" hidden="1" customWidth="1"/>
    <col min="26" max="26" width="17.85546875" hidden="1" customWidth="1"/>
    <col min="27" max="27" width="18" hidden="1" customWidth="1"/>
    <col min="28" max="28" width="1.28515625" style="6" hidden="1" customWidth="1"/>
    <col min="29" max="29" width="10" style="36" hidden="1" customWidth="1"/>
    <col min="30" max="30" width="18.85546875" style="36" hidden="1" customWidth="1"/>
    <col min="31" max="31" width="17.85546875" style="36" hidden="1" customWidth="1"/>
    <col min="32" max="32" width="18" style="36" hidden="1" customWidth="1"/>
    <col min="33" max="33" width="1.28515625" style="6" hidden="1" customWidth="1"/>
    <col min="34" max="34" width="10" style="36" hidden="1" customWidth="1"/>
    <col min="35" max="35" width="18.85546875" style="36" hidden="1" customWidth="1"/>
    <col min="36" max="36" width="17.85546875" style="36" hidden="1" customWidth="1"/>
    <col min="37" max="37" width="18" style="36" hidden="1" customWidth="1"/>
    <col min="38" max="38" width="1.28515625" style="6" hidden="1" customWidth="1"/>
    <col min="39" max="39" width="10" style="36" customWidth="1"/>
    <col min="40" max="40" width="18.85546875" style="36" customWidth="1"/>
    <col min="41" max="41" width="17.85546875" style="36" customWidth="1"/>
    <col min="42" max="42" width="18" style="36" customWidth="1"/>
    <col min="43" max="43" width="1.28515625" style="6" customWidth="1"/>
    <col min="44" max="44" width="10" style="36" customWidth="1"/>
    <col min="45" max="45" width="18.85546875" style="36" customWidth="1"/>
    <col min="46" max="46" width="17.85546875" style="36" customWidth="1"/>
    <col min="47" max="47" width="18" style="36" customWidth="1"/>
    <col min="48" max="48" width="1.28515625" style="6" customWidth="1"/>
    <col min="49" max="49" width="10" style="36" customWidth="1"/>
    <col min="50" max="50" width="18.85546875" style="36" customWidth="1"/>
    <col min="51" max="51" width="17.85546875" style="36" customWidth="1"/>
    <col min="52" max="52" width="18" style="36" customWidth="1"/>
    <col min="53" max="53" width="1.28515625" style="6" customWidth="1"/>
    <col min="54" max="54" width="10" style="36" customWidth="1"/>
    <col min="55" max="55" width="18.85546875" style="36" customWidth="1"/>
    <col min="56" max="56" width="17.85546875" style="36" customWidth="1"/>
    <col min="57" max="57" width="18" style="36" customWidth="1"/>
    <col min="58" max="58" width="1.28515625" style="6" customWidth="1"/>
  </cols>
  <sheetData>
    <row r="1" spans="1:60" ht="15.75" thickBot="1" x14ac:dyDescent="0.3"/>
    <row r="2" spans="1:60" ht="15.75" thickBot="1" x14ac:dyDescent="0.3">
      <c r="F2" s="7" t="s">
        <v>38</v>
      </c>
      <c r="G2" s="8">
        <f>G3*(1+G4*G5/30)</f>
        <v>520939960.25667959</v>
      </c>
      <c r="K2" s="7" t="s">
        <v>38</v>
      </c>
      <c r="L2" s="8">
        <f>L3*(1+L4*L5/30)</f>
        <v>784768658.32087517</v>
      </c>
      <c r="P2" s="7" t="s">
        <v>38</v>
      </c>
      <c r="Q2" s="8">
        <f>Q3*(1+Q4*Q5/30)</f>
        <v>130749910.73267199</v>
      </c>
      <c r="U2" s="7" t="s">
        <v>38</v>
      </c>
      <c r="V2" s="8">
        <f>V3*(1+V4*V5/30)</f>
        <v>1321150055.5743179</v>
      </c>
      <c r="Z2" s="7" t="s">
        <v>38</v>
      </c>
      <c r="AA2" s="8">
        <f>AA3*(1+AA4*AA5/30)</f>
        <v>916073750.54835975</v>
      </c>
      <c r="AE2" s="7" t="s">
        <v>38</v>
      </c>
      <c r="AF2" s="8">
        <f>AF3*(1+AF4*AF5/30)</f>
        <v>527219487.72424501</v>
      </c>
      <c r="AJ2" s="7" t="s">
        <v>38</v>
      </c>
      <c r="AK2" s="8">
        <f>AK3*(1+AK4*AK5/30)</f>
        <v>738591930.75384939</v>
      </c>
      <c r="AO2" s="7" t="s">
        <v>38</v>
      </c>
      <c r="AP2" s="8">
        <f>AP3*(1+AP4*AP5/30)</f>
        <v>2698308169.5880504</v>
      </c>
      <c r="AT2" s="7" t="s">
        <v>38</v>
      </c>
      <c r="AU2" s="8">
        <f>AU3*(1+AU4*AU5/30)</f>
        <v>413320934.96477032</v>
      </c>
      <c r="AY2" s="7" t="s">
        <v>38</v>
      </c>
      <c r="AZ2" s="8">
        <f>AZ3*(1+AZ4*AZ5/30)</f>
        <v>4717236588.4347544</v>
      </c>
      <c r="BD2" s="7" t="s">
        <v>38</v>
      </c>
      <c r="BE2" s="8">
        <f>BE3*(1+BE4*BE5/30)</f>
        <v>2619985061.375576</v>
      </c>
    </row>
    <row r="3" spans="1:60" ht="15.75" thickBot="1" x14ac:dyDescent="0.3">
      <c r="D3" s="33">
        <f>+G3/D5</f>
        <v>25848.84935</v>
      </c>
      <c r="F3" s="7" t="s">
        <v>39</v>
      </c>
      <c r="G3" s="9">
        <v>516976987</v>
      </c>
      <c r="K3" s="7" t="s">
        <v>39</v>
      </c>
      <c r="L3" s="9">
        <v>773533446</v>
      </c>
      <c r="P3" s="7" t="s">
        <v>39</v>
      </c>
      <c r="Q3" s="9">
        <v>128977926</v>
      </c>
      <c r="U3" s="7" t="s">
        <v>39</v>
      </c>
      <c r="V3" s="11">
        <v>1297855645.5</v>
      </c>
      <c r="Z3" s="7" t="s">
        <v>39</v>
      </c>
      <c r="AA3" s="11">
        <v>909568366</v>
      </c>
      <c r="AE3" s="7" t="s">
        <v>39</v>
      </c>
      <c r="AF3" s="11">
        <v>520544340</v>
      </c>
      <c r="AJ3" s="7" t="s">
        <v>39</v>
      </c>
      <c r="AK3" s="11">
        <v>734243796</v>
      </c>
      <c r="AO3" s="7" t="s">
        <v>39</v>
      </c>
      <c r="AP3" s="11">
        <v>2671982655</v>
      </c>
      <c r="AT3" s="7" t="s">
        <v>39</v>
      </c>
      <c r="AU3" s="11">
        <v>410421960</v>
      </c>
      <c r="AY3" s="7" t="s">
        <v>39</v>
      </c>
      <c r="AZ3" s="11">
        <v>4682868083</v>
      </c>
      <c r="BD3" s="7" t="s">
        <v>39</v>
      </c>
      <c r="BE3" s="11">
        <v>2601982795</v>
      </c>
    </row>
    <row r="4" spans="1:60" ht="15.75" thickBot="1" x14ac:dyDescent="0.3">
      <c r="F4" s="7" t="s">
        <v>40</v>
      </c>
      <c r="G4" s="10">
        <v>3.5379999999999999E-3</v>
      </c>
      <c r="K4" s="7" t="s">
        <v>40</v>
      </c>
      <c r="L4" s="10">
        <v>3.5140000000000002E-3</v>
      </c>
      <c r="P4" s="7" t="s">
        <v>40</v>
      </c>
      <c r="Q4" s="10">
        <v>3.6800000000000001E-3</v>
      </c>
      <c r="U4" s="7" t="s">
        <v>40</v>
      </c>
      <c r="V4" s="10">
        <v>3.5424439934145673E-3</v>
      </c>
      <c r="Z4" s="7" t="s">
        <v>40</v>
      </c>
      <c r="AA4" s="10">
        <v>3.3010000000000001E-3</v>
      </c>
      <c r="AE4" s="7" t="s">
        <v>40</v>
      </c>
      <c r="AF4" s="66">
        <v>3.6292638435849898E-3</v>
      </c>
      <c r="AJ4" s="7" t="s">
        <v>40</v>
      </c>
      <c r="AK4" s="66">
        <v>3.2899568671401142E-3</v>
      </c>
      <c r="AO4" s="7" t="s">
        <v>40</v>
      </c>
      <c r="AP4" s="66">
        <v>2.6390430000000002E-3</v>
      </c>
      <c r="AT4" s="7" t="s">
        <v>40</v>
      </c>
      <c r="AU4" s="66">
        <v>3.0710440000000002E-3</v>
      </c>
      <c r="AY4" s="7" t="s">
        <v>40</v>
      </c>
      <c r="AZ4" s="66">
        <v>2.5019999999999999E-3</v>
      </c>
      <c r="BD4" s="7" t="s">
        <v>40</v>
      </c>
      <c r="BE4" s="66">
        <v>2.8432900000000001E-3</v>
      </c>
      <c r="BH4" s="290">
        <v>2.8432900000000001E-3</v>
      </c>
    </row>
    <row r="5" spans="1:60" ht="15.75" thickBot="1" x14ac:dyDescent="0.3">
      <c r="C5" s="70">
        <v>527860646</v>
      </c>
      <c r="D5" s="3">
        <v>20000</v>
      </c>
      <c r="E5" t="s">
        <v>13</v>
      </c>
      <c r="F5" s="7" t="s">
        <v>41</v>
      </c>
      <c r="G5" s="11">
        <v>65</v>
      </c>
      <c r="I5" s="3">
        <v>30000</v>
      </c>
      <c r="J5" t="s">
        <v>13</v>
      </c>
      <c r="K5" s="7" t="s">
        <v>41</v>
      </c>
      <c r="L5" s="11">
        <v>124</v>
      </c>
      <c r="N5" s="3">
        <v>5000</v>
      </c>
      <c r="O5" t="s">
        <v>13</v>
      </c>
      <c r="P5" s="7" t="s">
        <v>41</v>
      </c>
      <c r="Q5" s="11">
        <v>112</v>
      </c>
      <c r="S5" s="3">
        <v>50000</v>
      </c>
      <c r="T5" t="s">
        <v>13</v>
      </c>
      <c r="U5" s="7" t="s">
        <v>41</v>
      </c>
      <c r="V5" s="11">
        <v>152</v>
      </c>
      <c r="X5" s="3">
        <v>35000</v>
      </c>
      <c r="Y5" t="s">
        <v>13</v>
      </c>
      <c r="Z5" s="7" t="s">
        <v>41</v>
      </c>
      <c r="AA5" s="11">
        <v>65</v>
      </c>
      <c r="AC5" s="3">
        <v>20000</v>
      </c>
      <c r="AD5" s="36" t="s">
        <v>13</v>
      </c>
      <c r="AE5" s="7" t="s">
        <v>41</v>
      </c>
      <c r="AF5" s="11">
        <v>106</v>
      </c>
      <c r="AH5" s="3">
        <v>28000</v>
      </c>
      <c r="AI5" s="36" t="s">
        <v>13</v>
      </c>
      <c r="AJ5" s="7" t="s">
        <v>41</v>
      </c>
      <c r="AK5" s="11">
        <v>54</v>
      </c>
      <c r="AM5" s="3">
        <v>98000</v>
      </c>
      <c r="AN5" s="36" t="s">
        <v>13</v>
      </c>
      <c r="AO5" s="7" t="s">
        <v>41</v>
      </c>
      <c r="AP5" s="11">
        <v>112</v>
      </c>
      <c r="AR5" s="3">
        <v>98000</v>
      </c>
      <c r="AS5" s="36" t="s">
        <v>13</v>
      </c>
      <c r="AT5" s="7" t="s">
        <v>41</v>
      </c>
      <c r="AU5" s="11">
        <v>69</v>
      </c>
      <c r="AW5" s="3">
        <v>98000</v>
      </c>
      <c r="AX5" s="36" t="s">
        <v>13</v>
      </c>
      <c r="AY5" s="7" t="s">
        <v>41</v>
      </c>
      <c r="AZ5" s="11">
        <v>88</v>
      </c>
      <c r="BB5" s="3">
        <v>95000</v>
      </c>
      <c r="BC5" s="36" t="s">
        <v>13</v>
      </c>
      <c r="BD5" s="7" t="s">
        <v>41</v>
      </c>
      <c r="BE5" s="11">
        <v>73</v>
      </c>
    </row>
    <row r="6" spans="1:60" x14ac:dyDescent="0.25">
      <c r="C6" s="70">
        <v>634050280</v>
      </c>
    </row>
    <row r="7" spans="1:60" x14ac:dyDescent="0.25">
      <c r="A7" s="344" t="s">
        <v>49</v>
      </c>
      <c r="B7" s="344"/>
      <c r="C7" s="70">
        <v>105675840</v>
      </c>
      <c r="D7" s="12" t="s">
        <v>41</v>
      </c>
      <c r="E7" s="12" t="s">
        <v>42</v>
      </c>
      <c r="I7" s="12" t="s">
        <v>41</v>
      </c>
      <c r="J7" s="12" t="s">
        <v>42</v>
      </c>
      <c r="N7" s="12" t="s">
        <v>41</v>
      </c>
      <c r="O7" s="12" t="s">
        <v>42</v>
      </c>
      <c r="S7" s="12" t="s">
        <v>41</v>
      </c>
      <c r="T7" s="12" t="s">
        <v>42</v>
      </c>
      <c r="X7" s="12" t="s">
        <v>41</v>
      </c>
      <c r="Y7" s="12" t="s">
        <v>42</v>
      </c>
      <c r="AC7" s="12" t="s">
        <v>41</v>
      </c>
      <c r="AD7" s="12" t="s">
        <v>42</v>
      </c>
      <c r="AH7" s="12" t="s">
        <v>41</v>
      </c>
      <c r="AI7" s="12" t="s">
        <v>42</v>
      </c>
      <c r="AM7" s="12" t="s">
        <v>41</v>
      </c>
      <c r="AN7" s="12" t="s">
        <v>42</v>
      </c>
      <c r="AR7" s="12" t="s">
        <v>41</v>
      </c>
      <c r="AS7" s="12" t="s">
        <v>42</v>
      </c>
      <c r="AW7" s="12" t="s">
        <v>41</v>
      </c>
      <c r="AX7" s="12" t="s">
        <v>42</v>
      </c>
      <c r="BB7" s="12" t="s">
        <v>41</v>
      </c>
      <c r="BC7" s="12" t="s">
        <v>42</v>
      </c>
    </row>
    <row r="8" spans="1:60" x14ac:dyDescent="0.25">
      <c r="A8" s="15">
        <f>+AN8</f>
        <v>2671982655</v>
      </c>
      <c r="B8" s="20">
        <v>43140</v>
      </c>
      <c r="D8" s="12">
        <f>+G5</f>
        <v>65</v>
      </c>
      <c r="E8" s="13">
        <f t="shared" ref="E8:E71" si="0">($G$2/(1+$G$4*D8/30))</f>
        <v>516976987</v>
      </c>
      <c r="F8" s="14">
        <v>42487</v>
      </c>
      <c r="I8" s="12">
        <f>+L5</f>
        <v>124</v>
      </c>
      <c r="J8" s="13">
        <f>($L$2/(1+$L$4*I8/30))</f>
        <v>773533446</v>
      </c>
      <c r="K8" s="14">
        <v>42488</v>
      </c>
      <c r="N8" s="12">
        <f>+Q5</f>
        <v>112</v>
      </c>
      <c r="O8" s="13">
        <f>($Q$2/(1+$Q$4*N8/30))</f>
        <v>128977926</v>
      </c>
      <c r="P8" s="14">
        <v>42488</v>
      </c>
      <c r="S8" s="12">
        <f>+V5</f>
        <v>152</v>
      </c>
      <c r="T8" s="13">
        <f>($V$2/(1+$V$4*S8/30))</f>
        <v>1297855645.5</v>
      </c>
      <c r="U8" s="14">
        <v>42531</v>
      </c>
      <c r="X8" s="12">
        <f>+AA5</f>
        <v>65</v>
      </c>
      <c r="Y8" s="13">
        <f>($AA$2/(1+$AA$4*X8/30))</f>
        <v>909568366</v>
      </c>
      <c r="Z8" s="14">
        <v>42542</v>
      </c>
      <c r="AC8" s="12">
        <f>+AF5</f>
        <v>106</v>
      </c>
      <c r="AD8" s="13">
        <f>($AF$2/(1+$AF$4*AC8/30))</f>
        <v>520544340</v>
      </c>
      <c r="AE8" s="14">
        <v>42709</v>
      </c>
      <c r="AH8" s="12">
        <f>+AK5</f>
        <v>54</v>
      </c>
      <c r="AI8" s="13">
        <f>($AK$2/(1+$AK$4*AH8/30))</f>
        <v>734243796</v>
      </c>
      <c r="AJ8" s="14">
        <v>42753</v>
      </c>
      <c r="AM8" s="12">
        <f>+AP5</f>
        <v>112</v>
      </c>
      <c r="AN8" s="13">
        <f>($AP$2/(1+$AP$4*AM8/30))</f>
        <v>2671982655</v>
      </c>
      <c r="AO8" s="14">
        <v>43140</v>
      </c>
      <c r="AR8" s="12">
        <f>+AU5</f>
        <v>69</v>
      </c>
      <c r="AS8" s="13">
        <f>($AU$2/(1+$AU$4*AR8/30))</f>
        <v>410421960</v>
      </c>
      <c r="AT8" s="14">
        <v>43158</v>
      </c>
      <c r="AW8" s="12">
        <f>+AZ5</f>
        <v>88</v>
      </c>
      <c r="AX8" s="13">
        <f>($AZ$2/(1+$AZ$4*AW8/30))</f>
        <v>4682868083</v>
      </c>
      <c r="AY8" s="14">
        <v>43164</v>
      </c>
      <c r="BB8" s="12">
        <f>+BE5</f>
        <v>73</v>
      </c>
      <c r="BC8" s="13">
        <f>($BE$2/(1+$BE$4*BB8/30))</f>
        <v>2601982795</v>
      </c>
      <c r="BD8" s="14">
        <v>43179</v>
      </c>
    </row>
    <row r="9" spans="1:60" x14ac:dyDescent="0.25">
      <c r="A9" s="15">
        <f t="shared" ref="A9:A25" si="1">+AN9</f>
        <v>2672215431.3027067</v>
      </c>
      <c r="B9" s="20">
        <v>43141</v>
      </c>
      <c r="D9" s="12">
        <f>+D8-1</f>
        <v>64</v>
      </c>
      <c r="E9" s="13">
        <f t="shared" si="0"/>
        <v>517037499.09021306</v>
      </c>
      <c r="F9" s="14">
        <v>42488</v>
      </c>
      <c r="I9" s="22">
        <f>+I8-1</f>
        <v>123</v>
      </c>
      <c r="J9" s="13">
        <f t="shared" ref="J9:J72" si="2">($L$2/(1+$L$4*I9/30))</f>
        <v>773622765.68652308</v>
      </c>
      <c r="K9" s="14">
        <v>42489</v>
      </c>
      <c r="L9" s="26"/>
      <c r="N9" s="22">
        <f>+N8-1</f>
        <v>111</v>
      </c>
      <c r="O9" s="13">
        <f t="shared" ref="O9:O72" si="3">($Q$2/(1+$Q$4*N9/30))</f>
        <v>128993534.76333442</v>
      </c>
      <c r="P9" s="14">
        <v>42489</v>
      </c>
      <c r="Q9" s="26"/>
      <c r="S9" s="22">
        <f>+S8-1</f>
        <v>151</v>
      </c>
      <c r="T9" s="13">
        <f t="shared" ref="T9:T72" si="4">($V$2/(1+$V$4*S9/30))</f>
        <v>1298006213.5245926</v>
      </c>
      <c r="U9" s="14">
        <v>42532</v>
      </c>
      <c r="V9" s="26"/>
      <c r="X9" s="22">
        <f>+X8-1</f>
        <v>64</v>
      </c>
      <c r="Y9" s="13">
        <f t="shared" ref="Y9:Y72" si="5">($AA$2/(1+$AA$4*X9/30))</f>
        <v>909667748.97107232</v>
      </c>
      <c r="Z9" s="14">
        <v>42543</v>
      </c>
      <c r="AA9" s="26"/>
      <c r="AC9" s="22">
        <f>+AC8-1</f>
        <v>105</v>
      </c>
      <c r="AD9" s="13">
        <f t="shared" ref="AD9:AD72" si="6">($AF$2/(1+$AF$4*AC9/30))</f>
        <v>520606523.21421951</v>
      </c>
      <c r="AE9" s="14">
        <v>42710</v>
      </c>
      <c r="AF9" s="26"/>
      <c r="AH9" s="22">
        <f>+AH8-1</f>
        <v>53</v>
      </c>
      <c r="AI9" s="13">
        <f t="shared" ref="AI9:AI61" si="7">($AK$2/(1+$AK$4*AH9/30))</f>
        <v>734323851.70959115</v>
      </c>
      <c r="AJ9" s="14">
        <v>42754</v>
      </c>
      <c r="AK9" s="26"/>
      <c r="AM9" s="22">
        <f>+AM8-1</f>
        <v>111</v>
      </c>
      <c r="AN9" s="13">
        <f t="shared" ref="AN9:AN72" si="8">($AP$2/(1+$AP$4*AM9/30))</f>
        <v>2672215431.3027067</v>
      </c>
      <c r="AO9" s="14">
        <v>43141</v>
      </c>
      <c r="AP9" s="26"/>
      <c r="AR9" s="22">
        <f>+AR8-1</f>
        <v>68</v>
      </c>
      <c r="AS9" s="13">
        <f t="shared" ref="AS9:AS72" si="9">($AU$2/(1+$AU$4*AR9/30))</f>
        <v>410463683.68993884</v>
      </c>
      <c r="AT9" s="14">
        <v>43159</v>
      </c>
      <c r="AU9" s="26"/>
      <c r="AW9" s="22">
        <f>+AW8-1</f>
        <v>87</v>
      </c>
      <c r="AX9" s="13">
        <f t="shared" ref="AX9:AX72" si="10">($AZ$2/(1+$AZ$4*AW9/30))</f>
        <v>4683255820.8498316</v>
      </c>
      <c r="AY9" s="14">
        <v>43165</v>
      </c>
      <c r="AZ9" s="26"/>
      <c r="BB9" s="22">
        <f>+BB8-1</f>
        <v>72</v>
      </c>
      <c r="BC9" s="13">
        <f t="shared" ref="BC9:BC72" si="11">($BE$2/(1+$BE$4*BB9/30))</f>
        <v>2602227729.977891</v>
      </c>
      <c r="BD9" s="14">
        <v>43180</v>
      </c>
      <c r="BE9" s="26"/>
    </row>
    <row r="10" spans="1:60" x14ac:dyDescent="0.25">
      <c r="A10" s="15">
        <f t="shared" si="1"/>
        <v>2672448248.1666994</v>
      </c>
      <c r="B10" s="20">
        <v>43142</v>
      </c>
      <c r="D10" s="22">
        <f t="shared" ref="D10:D73" si="12">+D9-1</f>
        <v>63</v>
      </c>
      <c r="E10" s="13">
        <f t="shared" si="0"/>
        <v>517098025.34794945</v>
      </c>
      <c r="F10" s="14">
        <v>42489</v>
      </c>
      <c r="G10" s="25"/>
      <c r="I10" s="12">
        <f t="shared" ref="I10:I73" si="13">+I9-1</f>
        <v>122</v>
      </c>
      <c r="J10" s="13">
        <f t="shared" si="2"/>
        <v>773712106.00286591</v>
      </c>
      <c r="K10" s="14">
        <v>42490</v>
      </c>
      <c r="L10" s="16"/>
      <c r="N10" s="12">
        <f t="shared" ref="N10:N73" si="14">+N9-1</f>
        <v>110</v>
      </c>
      <c r="O10" s="13">
        <f t="shared" si="3"/>
        <v>129009147.30503604</v>
      </c>
      <c r="P10" s="14">
        <v>42490</v>
      </c>
      <c r="Q10" s="16"/>
      <c r="S10" s="22">
        <f t="shared" ref="S10:S73" si="15">+S9-1</f>
        <v>150</v>
      </c>
      <c r="T10" s="13">
        <f t="shared" si="4"/>
        <v>1298156816.4889114</v>
      </c>
      <c r="U10" s="14">
        <v>42533</v>
      </c>
      <c r="V10" s="16"/>
      <c r="X10" s="22">
        <f t="shared" ref="X10:X73" si="16">+X9-1</f>
        <v>63</v>
      </c>
      <c r="Y10" s="13">
        <f t="shared" si="5"/>
        <v>909767153.66245627</v>
      </c>
      <c r="Z10" s="14">
        <v>42544</v>
      </c>
      <c r="AA10" s="16"/>
      <c r="AC10" s="22">
        <f t="shared" ref="AC10:AC74" si="17">+AC9-1</f>
        <v>104</v>
      </c>
      <c r="AD10" s="13">
        <f t="shared" si="6"/>
        <v>520668721.2867856</v>
      </c>
      <c r="AE10" s="14">
        <v>42711</v>
      </c>
      <c r="AF10" s="16"/>
      <c r="AH10" s="22">
        <f t="shared" ref="AH10:AH62" si="18">+AH9-1</f>
        <v>52</v>
      </c>
      <c r="AI10" s="13">
        <f t="shared" si="7"/>
        <v>734403924.87827563</v>
      </c>
      <c r="AJ10" s="14">
        <v>42755</v>
      </c>
      <c r="AK10" s="16"/>
      <c r="AM10" s="22">
        <f t="shared" ref="AM10:AM73" si="19">+AM9-1</f>
        <v>110</v>
      </c>
      <c r="AN10" s="13">
        <f t="shared" si="8"/>
        <v>2672448248.1666994</v>
      </c>
      <c r="AO10" s="14">
        <v>43142</v>
      </c>
      <c r="AP10" s="16"/>
      <c r="AR10" s="22">
        <f t="shared" ref="AR10:AR73" si="20">+AR9-1</f>
        <v>67</v>
      </c>
      <c r="AS10" s="13">
        <f t="shared" si="9"/>
        <v>410505415.8640402</v>
      </c>
      <c r="AT10" s="14">
        <v>43160</v>
      </c>
      <c r="AU10" s="16"/>
      <c r="AW10" s="22">
        <f t="shared" ref="AW10:AW73" si="21">+AW9-1</f>
        <v>86</v>
      </c>
      <c r="AX10" s="13">
        <f t="shared" si="10"/>
        <v>4683643622.9137678</v>
      </c>
      <c r="AY10" s="14">
        <v>43166</v>
      </c>
      <c r="AZ10" s="16"/>
      <c r="BB10" s="22">
        <f t="shared" ref="BB10:BB73" si="22">+BB9-1</f>
        <v>71</v>
      </c>
      <c r="BC10" s="13">
        <f t="shared" si="11"/>
        <v>2602472711.0735283</v>
      </c>
      <c r="BD10" s="14">
        <v>43181</v>
      </c>
      <c r="BE10" s="16"/>
    </row>
    <row r="11" spans="1:60" x14ac:dyDescent="0.25">
      <c r="A11" s="15">
        <f t="shared" si="1"/>
        <v>2672681105.6025829</v>
      </c>
      <c r="B11" s="20">
        <v>43143</v>
      </c>
      <c r="D11" s="12">
        <f t="shared" si="12"/>
        <v>62</v>
      </c>
      <c r="E11" s="17">
        <f t="shared" si="0"/>
        <v>517158565.77818489</v>
      </c>
      <c r="F11" s="18">
        <v>42490</v>
      </c>
      <c r="I11" s="12">
        <f t="shared" si="13"/>
        <v>121</v>
      </c>
      <c r="J11" s="13">
        <f t="shared" si="2"/>
        <v>773801466.9561764</v>
      </c>
      <c r="K11" s="14">
        <v>42491</v>
      </c>
      <c r="N11" s="12">
        <f t="shared" si="14"/>
        <v>109</v>
      </c>
      <c r="O11" s="13">
        <f t="shared" si="3"/>
        <v>129024763.62647691</v>
      </c>
      <c r="P11" s="14">
        <v>42491</v>
      </c>
      <c r="S11" s="22">
        <f t="shared" si="15"/>
        <v>149</v>
      </c>
      <c r="T11" s="13">
        <f t="shared" si="4"/>
        <v>1298307454.4051194</v>
      </c>
      <c r="U11" s="14">
        <v>42534</v>
      </c>
      <c r="X11" s="22">
        <f t="shared" si="16"/>
        <v>62</v>
      </c>
      <c r="Y11" s="13">
        <f t="shared" si="5"/>
        <v>909866580.0812732</v>
      </c>
      <c r="Z11" s="14">
        <v>42545</v>
      </c>
      <c r="AC11" s="22">
        <f t="shared" si="17"/>
        <v>103</v>
      </c>
      <c r="AD11" s="13">
        <f t="shared" si="6"/>
        <v>520730934.22302431</v>
      </c>
      <c r="AE11" s="14">
        <v>42712</v>
      </c>
      <c r="AH11" s="22">
        <f t="shared" si="18"/>
        <v>51</v>
      </c>
      <c r="AI11" s="13">
        <f t="shared" si="7"/>
        <v>734484015.5117656</v>
      </c>
      <c r="AJ11" s="14">
        <v>42756</v>
      </c>
      <c r="AM11" s="22">
        <f t="shared" si="19"/>
        <v>109</v>
      </c>
      <c r="AN11" s="13">
        <f t="shared" si="8"/>
        <v>2672681105.6025829</v>
      </c>
      <c r="AO11" s="14">
        <v>43143</v>
      </c>
      <c r="AR11" s="22">
        <f t="shared" si="20"/>
        <v>66</v>
      </c>
      <c r="AS11" s="13">
        <f t="shared" si="9"/>
        <v>410547156.52489215</v>
      </c>
      <c r="AT11" s="14">
        <v>43161</v>
      </c>
      <c r="AW11" s="22">
        <f t="shared" si="21"/>
        <v>85</v>
      </c>
      <c r="AX11" s="13">
        <f t="shared" si="10"/>
        <v>4684031489.2077608</v>
      </c>
      <c r="AY11" s="14">
        <v>43167</v>
      </c>
      <c r="BB11" s="22">
        <f t="shared" si="22"/>
        <v>70</v>
      </c>
      <c r="BC11" s="13">
        <f t="shared" si="11"/>
        <v>2602717738.2999372</v>
      </c>
      <c r="BD11" s="14">
        <v>43182</v>
      </c>
    </row>
    <row r="12" spans="1:60" x14ac:dyDescent="0.25">
      <c r="A12" s="15">
        <f t="shared" si="1"/>
        <v>2672914003.6209621</v>
      </c>
      <c r="B12" s="20">
        <v>43144</v>
      </c>
      <c r="C12" s="71">
        <f>+'Sintetico Liquidez'!A322-'R° Sintetico Liquidez'!C11</f>
        <v>-10018885213.945297</v>
      </c>
      <c r="D12" s="12">
        <f t="shared" si="12"/>
        <v>61</v>
      </c>
      <c r="E12" s="17">
        <f t="shared" si="0"/>
        <v>517219120.38589817</v>
      </c>
      <c r="F12" s="18">
        <v>42491</v>
      </c>
      <c r="I12" s="12">
        <f t="shared" si="13"/>
        <v>120</v>
      </c>
      <c r="J12" s="13">
        <f t="shared" si="2"/>
        <v>773890848.55360568</v>
      </c>
      <c r="K12" s="14">
        <v>42492</v>
      </c>
      <c r="N12" s="12">
        <f t="shared" si="14"/>
        <v>108</v>
      </c>
      <c r="O12" s="13">
        <f t="shared" si="3"/>
        <v>129040383.72902982</v>
      </c>
      <c r="P12" s="14">
        <v>42492</v>
      </c>
      <c r="S12" s="22">
        <f t="shared" si="15"/>
        <v>148</v>
      </c>
      <c r="T12" s="13">
        <f t="shared" si="4"/>
        <v>1298458127.2853858</v>
      </c>
      <c r="U12" s="14">
        <v>42535</v>
      </c>
      <c r="X12" s="22">
        <f t="shared" si="16"/>
        <v>61</v>
      </c>
      <c r="Y12" s="13">
        <f t="shared" si="5"/>
        <v>909966028.23464787</v>
      </c>
      <c r="Z12" s="14">
        <v>42546</v>
      </c>
      <c r="AC12" s="22">
        <f t="shared" si="17"/>
        <v>102</v>
      </c>
      <c r="AD12" s="13">
        <f t="shared" si="6"/>
        <v>520793162.0282644</v>
      </c>
      <c r="AE12" s="14">
        <v>42713</v>
      </c>
      <c r="AH12" s="22">
        <f t="shared" si="18"/>
        <v>50</v>
      </c>
      <c r="AI12" s="13">
        <f t="shared" si="7"/>
        <v>734564123.61577523</v>
      </c>
      <c r="AJ12" s="14">
        <v>42757</v>
      </c>
      <c r="AM12" s="22">
        <f t="shared" si="19"/>
        <v>108</v>
      </c>
      <c r="AN12" s="13">
        <f t="shared" si="8"/>
        <v>2672914003.6209621</v>
      </c>
      <c r="AO12" s="14">
        <v>43144</v>
      </c>
      <c r="AR12" s="22">
        <f t="shared" si="20"/>
        <v>65</v>
      </c>
      <c r="AS12" s="13">
        <f t="shared" si="9"/>
        <v>410588905.67508358</v>
      </c>
      <c r="AT12" s="14">
        <v>43162</v>
      </c>
      <c r="AW12" s="22">
        <f t="shared" si="21"/>
        <v>84</v>
      </c>
      <c r="AX12" s="13">
        <f t="shared" si="10"/>
        <v>4684419419.7477694</v>
      </c>
      <c r="AY12" s="14">
        <v>43168</v>
      </c>
      <c r="BB12" s="22">
        <f t="shared" si="22"/>
        <v>69</v>
      </c>
      <c r="BC12" s="13">
        <f t="shared" si="11"/>
        <v>2602962811.6701508</v>
      </c>
      <c r="BD12" s="14">
        <v>43183</v>
      </c>
    </row>
    <row r="13" spans="1:60" x14ac:dyDescent="0.25">
      <c r="A13" s="15">
        <f t="shared" si="1"/>
        <v>2673146942.2324476</v>
      </c>
      <c r="B13" s="20">
        <v>43145</v>
      </c>
      <c r="D13" s="12">
        <f t="shared" si="12"/>
        <v>60</v>
      </c>
      <c r="E13" s="17">
        <f t="shared" si="0"/>
        <v>517279689.17606968</v>
      </c>
      <c r="F13" s="18">
        <v>42492</v>
      </c>
      <c r="I13" s="12">
        <f t="shared" si="13"/>
        <v>119</v>
      </c>
      <c r="J13" s="13">
        <f t="shared" si="2"/>
        <v>773980250.80230856</v>
      </c>
      <c r="K13" s="14">
        <v>42493</v>
      </c>
      <c r="N13" s="12">
        <f t="shared" si="14"/>
        <v>107</v>
      </c>
      <c r="O13" s="13">
        <f t="shared" si="3"/>
        <v>129056007.61406814</v>
      </c>
      <c r="P13" s="14">
        <v>42493</v>
      </c>
      <c r="S13" s="22">
        <f t="shared" si="15"/>
        <v>147</v>
      </c>
      <c r="T13" s="13">
        <f t="shared" si="4"/>
        <v>1298608835.141885</v>
      </c>
      <c r="U13" s="14">
        <v>42536</v>
      </c>
      <c r="X13" s="22">
        <f t="shared" si="16"/>
        <v>60</v>
      </c>
      <c r="Y13" s="13">
        <f t="shared" si="5"/>
        <v>910065498.12970746</v>
      </c>
      <c r="Z13" s="14">
        <v>42547</v>
      </c>
      <c r="AC13" s="22">
        <f t="shared" si="17"/>
        <v>101</v>
      </c>
      <c r="AD13" s="13">
        <f t="shared" si="6"/>
        <v>520855404.70783705</v>
      </c>
      <c r="AE13" s="14">
        <v>42714</v>
      </c>
      <c r="AH13" s="22">
        <f t="shared" si="18"/>
        <v>49</v>
      </c>
      <c r="AI13" s="13">
        <f t="shared" si="7"/>
        <v>734644249.19602191</v>
      </c>
      <c r="AJ13" s="14">
        <v>42758</v>
      </c>
      <c r="AM13" s="22">
        <f t="shared" si="19"/>
        <v>107</v>
      </c>
      <c r="AN13" s="13">
        <f t="shared" si="8"/>
        <v>2673146942.2324476</v>
      </c>
      <c r="AO13" s="14">
        <v>43145</v>
      </c>
      <c r="AR13" s="22">
        <f t="shared" si="20"/>
        <v>64</v>
      </c>
      <c r="AS13" s="13">
        <f t="shared" si="9"/>
        <v>410630663.31720483</v>
      </c>
      <c r="AT13" s="14">
        <v>43163</v>
      </c>
      <c r="AW13" s="22">
        <f t="shared" si="21"/>
        <v>83</v>
      </c>
      <c r="AX13" s="13">
        <f t="shared" si="10"/>
        <v>4684807414.549758</v>
      </c>
      <c r="AY13" s="14">
        <v>43169</v>
      </c>
      <c r="BB13" s="22">
        <f t="shared" si="22"/>
        <v>68</v>
      </c>
      <c r="BC13" s="13">
        <f t="shared" si="11"/>
        <v>2603207931.1972036</v>
      </c>
      <c r="BD13" s="14">
        <v>43184</v>
      </c>
    </row>
    <row r="14" spans="1:60" x14ac:dyDescent="0.25">
      <c r="A14" s="15">
        <f t="shared" si="1"/>
        <v>2673379921.4476528</v>
      </c>
      <c r="B14" s="20">
        <v>43146</v>
      </c>
      <c r="D14" s="12">
        <f t="shared" si="12"/>
        <v>59</v>
      </c>
      <c r="E14" s="17">
        <f t="shared" si="0"/>
        <v>517340272.15368283</v>
      </c>
      <c r="F14" s="18">
        <v>42493</v>
      </c>
      <c r="I14" s="12">
        <f t="shared" si="13"/>
        <v>118</v>
      </c>
      <c r="J14" s="13">
        <f t="shared" si="2"/>
        <v>774069673.70944297</v>
      </c>
      <c r="K14" s="14">
        <v>42494</v>
      </c>
      <c r="N14" s="12">
        <f t="shared" si="14"/>
        <v>106</v>
      </c>
      <c r="O14" s="13">
        <f t="shared" si="3"/>
        <v>129071635.282966</v>
      </c>
      <c r="P14" s="14">
        <v>42494</v>
      </c>
      <c r="S14" s="22">
        <f t="shared" si="15"/>
        <v>146</v>
      </c>
      <c r="T14" s="13">
        <f t="shared" si="4"/>
        <v>1298759577.9867971</v>
      </c>
      <c r="U14" s="14">
        <v>42537</v>
      </c>
      <c r="X14" s="22">
        <f t="shared" si="16"/>
        <v>59</v>
      </c>
      <c r="Y14" s="13">
        <f t="shared" si="5"/>
        <v>910164989.77358258</v>
      </c>
      <c r="Z14" s="14">
        <v>42548</v>
      </c>
      <c r="AC14" s="22">
        <f t="shared" si="17"/>
        <v>100</v>
      </c>
      <c r="AD14" s="13">
        <f t="shared" si="6"/>
        <v>520917662.26707602</v>
      </c>
      <c r="AE14" s="14">
        <v>42715</v>
      </c>
      <c r="AH14" s="22">
        <f t="shared" si="18"/>
        <v>48</v>
      </c>
      <c r="AI14" s="13">
        <f t="shared" si="7"/>
        <v>734724392.25822484</v>
      </c>
      <c r="AJ14" s="14">
        <v>42759</v>
      </c>
      <c r="AM14" s="22">
        <f t="shared" si="19"/>
        <v>106</v>
      </c>
      <c r="AN14" s="13">
        <f t="shared" si="8"/>
        <v>2673379921.4476528</v>
      </c>
      <c r="AO14" s="14">
        <v>43146</v>
      </c>
      <c r="AR14" s="22">
        <f t="shared" si="20"/>
        <v>63</v>
      </c>
      <c r="AS14" s="13">
        <f t="shared" si="9"/>
        <v>410672429.45384699</v>
      </c>
      <c r="AT14" s="14">
        <v>43164</v>
      </c>
      <c r="AW14" s="22">
        <f t="shared" si="21"/>
        <v>82</v>
      </c>
      <c r="AX14" s="13">
        <f t="shared" si="10"/>
        <v>4685195473.6296959</v>
      </c>
      <c r="AY14" s="14">
        <v>43170</v>
      </c>
      <c r="BB14" s="22">
        <f t="shared" si="22"/>
        <v>67</v>
      </c>
      <c r="BC14" s="13">
        <f t="shared" si="11"/>
        <v>2603453096.8941374</v>
      </c>
      <c r="BD14" s="14">
        <v>43185</v>
      </c>
    </row>
    <row r="15" spans="1:60" x14ac:dyDescent="0.25">
      <c r="A15" s="15">
        <f t="shared" si="1"/>
        <v>2673612941.2771955</v>
      </c>
      <c r="B15" s="20">
        <v>43147</v>
      </c>
      <c r="D15" s="12">
        <f t="shared" si="12"/>
        <v>58</v>
      </c>
      <c r="E15" s="17">
        <f t="shared" si="0"/>
        <v>517400869.32372272</v>
      </c>
      <c r="F15" s="18">
        <v>42494</v>
      </c>
      <c r="I15" s="12">
        <f t="shared" si="13"/>
        <v>117</v>
      </c>
      <c r="J15" s="13">
        <f t="shared" si="2"/>
        <v>774159117.28216994</v>
      </c>
      <c r="K15" s="14">
        <v>42495</v>
      </c>
      <c r="N15" s="12">
        <f t="shared" si="14"/>
        <v>105</v>
      </c>
      <c r="O15" s="13">
        <f t="shared" si="3"/>
        <v>129087266.73709817</v>
      </c>
      <c r="P15" s="14">
        <v>42495</v>
      </c>
      <c r="S15" s="22">
        <f t="shared" si="15"/>
        <v>145</v>
      </c>
      <c r="T15" s="13">
        <f t="shared" si="4"/>
        <v>1298910355.8323076</v>
      </c>
      <c r="U15" s="14">
        <v>42538</v>
      </c>
      <c r="X15" s="22">
        <f t="shared" si="16"/>
        <v>58</v>
      </c>
      <c r="Y15" s="13">
        <f t="shared" si="5"/>
        <v>910264503.17340732</v>
      </c>
      <c r="Z15" s="14">
        <v>42549</v>
      </c>
      <c r="AC15" s="22">
        <f t="shared" si="17"/>
        <v>99</v>
      </c>
      <c r="AD15" s="13">
        <f t="shared" si="6"/>
        <v>520979934.7113176</v>
      </c>
      <c r="AE15" s="14">
        <v>42716</v>
      </c>
      <c r="AH15" s="22">
        <f t="shared" si="18"/>
        <v>47</v>
      </c>
      <c r="AI15" s="13">
        <f t="shared" si="7"/>
        <v>734804552.8081063</v>
      </c>
      <c r="AJ15" s="14">
        <v>42760</v>
      </c>
      <c r="AM15" s="22">
        <f t="shared" si="19"/>
        <v>105</v>
      </c>
      <c r="AN15" s="13">
        <f t="shared" si="8"/>
        <v>2673612941.2771955</v>
      </c>
      <c r="AO15" s="14">
        <v>43147</v>
      </c>
      <c r="AR15" s="22">
        <f t="shared" si="20"/>
        <v>62</v>
      </c>
      <c r="AS15" s="13">
        <f t="shared" si="9"/>
        <v>410714204.08760244</v>
      </c>
      <c r="AT15" s="14">
        <v>43165</v>
      </c>
      <c r="AW15" s="22">
        <f t="shared" si="21"/>
        <v>81</v>
      </c>
      <c r="AX15" s="13">
        <f t="shared" si="10"/>
        <v>4685583597.0035563</v>
      </c>
      <c r="AY15" s="14">
        <v>43171</v>
      </c>
      <c r="BB15" s="22">
        <f t="shared" si="22"/>
        <v>66</v>
      </c>
      <c r="BC15" s="13">
        <f t="shared" si="11"/>
        <v>2603698308.7739968</v>
      </c>
      <c r="BD15" s="14">
        <v>43186</v>
      </c>
    </row>
    <row r="16" spans="1:60" x14ac:dyDescent="0.25">
      <c r="A16" s="15">
        <f t="shared" si="1"/>
        <v>2673846001.7316971</v>
      </c>
      <c r="B16" s="20">
        <v>43148</v>
      </c>
      <c r="D16" s="12">
        <f t="shared" si="12"/>
        <v>57</v>
      </c>
      <c r="E16" s="17">
        <f t="shared" si="0"/>
        <v>517461480.69117737</v>
      </c>
      <c r="F16" s="18">
        <v>42495</v>
      </c>
      <c r="I16" s="12">
        <f t="shared" si="13"/>
        <v>116</v>
      </c>
      <c r="J16" s="13">
        <f t="shared" si="2"/>
        <v>774248581.52765417</v>
      </c>
      <c r="K16" s="14">
        <v>42496</v>
      </c>
      <c r="N16" s="12">
        <f t="shared" si="14"/>
        <v>104</v>
      </c>
      <c r="O16" s="13">
        <f t="shared" si="3"/>
        <v>129102901.97784004</v>
      </c>
      <c r="P16" s="14">
        <v>42496</v>
      </c>
      <c r="S16" s="22">
        <f t="shared" si="15"/>
        <v>144</v>
      </c>
      <c r="T16" s="13">
        <f t="shared" si="4"/>
        <v>1299061168.6906083</v>
      </c>
      <c r="U16" s="14">
        <v>42539</v>
      </c>
      <c r="X16" s="22">
        <f t="shared" si="16"/>
        <v>57</v>
      </c>
      <c r="Y16" s="13">
        <f t="shared" si="5"/>
        <v>910364038.33631825</v>
      </c>
      <c r="Z16" s="14">
        <v>42550</v>
      </c>
      <c r="AC16" s="22">
        <f t="shared" si="17"/>
        <v>98</v>
      </c>
      <c r="AD16" s="13">
        <f t="shared" si="6"/>
        <v>521042222.04590064</v>
      </c>
      <c r="AE16" s="14">
        <v>42717</v>
      </c>
      <c r="AH16" s="22">
        <f t="shared" si="18"/>
        <v>46</v>
      </c>
      <c r="AI16" s="13">
        <f t="shared" si="7"/>
        <v>734884730.85139072</v>
      </c>
      <c r="AJ16" s="14">
        <v>42761</v>
      </c>
      <c r="AM16" s="22">
        <f t="shared" si="19"/>
        <v>104</v>
      </c>
      <c r="AN16" s="13">
        <f t="shared" si="8"/>
        <v>2673846001.7316971</v>
      </c>
      <c r="AO16" s="14">
        <v>43148</v>
      </c>
      <c r="AR16" s="22">
        <f t="shared" si="20"/>
        <v>61</v>
      </c>
      <c r="AS16" s="13">
        <f t="shared" si="9"/>
        <v>410755987.22106439</v>
      </c>
      <c r="AT16" s="14">
        <v>43166</v>
      </c>
      <c r="AW16" s="22">
        <f t="shared" si="21"/>
        <v>80</v>
      </c>
      <c r="AX16" s="13">
        <f t="shared" si="10"/>
        <v>4685971784.6873207</v>
      </c>
      <c r="AY16" s="14">
        <v>43172</v>
      </c>
      <c r="BB16" s="22">
        <f t="shared" si="22"/>
        <v>65</v>
      </c>
      <c r="BC16" s="13">
        <f t="shared" si="11"/>
        <v>2603943566.8498344</v>
      </c>
      <c r="BD16" s="14">
        <v>43187</v>
      </c>
    </row>
    <row r="17" spans="1:56" x14ac:dyDescent="0.25">
      <c r="A17" s="15">
        <f t="shared" si="1"/>
        <v>2674079102.8217816</v>
      </c>
      <c r="B17" s="20">
        <v>43149</v>
      </c>
      <c r="D17" s="12">
        <f t="shared" si="12"/>
        <v>56</v>
      </c>
      <c r="E17" s="17">
        <f t="shared" si="0"/>
        <v>517522106.26103675</v>
      </c>
      <c r="F17" s="18">
        <v>42496</v>
      </c>
      <c r="I17" s="12">
        <f t="shared" si="13"/>
        <v>115</v>
      </c>
      <c r="J17" s="13">
        <f t="shared" si="2"/>
        <v>774338066.45306361</v>
      </c>
      <c r="K17" s="14">
        <v>42497</v>
      </c>
      <c r="N17" s="12">
        <f t="shared" si="14"/>
        <v>103</v>
      </c>
      <c r="O17" s="13">
        <f t="shared" si="3"/>
        <v>129118541.00656769</v>
      </c>
      <c r="P17" s="14">
        <v>42497</v>
      </c>
      <c r="S17" s="22">
        <f t="shared" si="15"/>
        <v>143</v>
      </c>
      <c r="T17" s="13">
        <f t="shared" si="4"/>
        <v>1299212016.5738964</v>
      </c>
      <c r="U17" s="14">
        <v>42540</v>
      </c>
      <c r="X17" s="22">
        <f t="shared" si="16"/>
        <v>56</v>
      </c>
      <c r="Y17" s="13">
        <f t="shared" si="5"/>
        <v>910463595.26945531</v>
      </c>
      <c r="Z17" s="14">
        <v>42551</v>
      </c>
      <c r="AC17" s="22">
        <f t="shared" si="17"/>
        <v>97</v>
      </c>
      <c r="AD17" s="13">
        <f t="shared" si="6"/>
        <v>521104524.27616662</v>
      </c>
      <c r="AE17" s="14">
        <v>42718</v>
      </c>
      <c r="AH17" s="22">
        <f t="shared" si="18"/>
        <v>45</v>
      </c>
      <c r="AI17" s="13">
        <f t="shared" si="7"/>
        <v>734964926.39380467</v>
      </c>
      <c r="AJ17" s="14">
        <v>42762</v>
      </c>
      <c r="AM17" s="22">
        <f t="shared" si="19"/>
        <v>103</v>
      </c>
      <c r="AN17" s="13">
        <f t="shared" si="8"/>
        <v>2674079102.8217816</v>
      </c>
      <c r="AO17" s="14">
        <v>43149</v>
      </c>
      <c r="AR17" s="22">
        <f t="shared" si="20"/>
        <v>60</v>
      </c>
      <c r="AS17" s="13">
        <f t="shared" si="9"/>
        <v>410797778.85682714</v>
      </c>
      <c r="AT17" s="14">
        <v>43167</v>
      </c>
      <c r="AW17" s="22">
        <f t="shared" si="21"/>
        <v>79</v>
      </c>
      <c r="AX17" s="13">
        <f t="shared" si="10"/>
        <v>4686360036.6969728</v>
      </c>
      <c r="AY17" s="14">
        <v>43173</v>
      </c>
      <c r="BB17" s="22">
        <f t="shared" si="22"/>
        <v>64</v>
      </c>
      <c r="BC17" s="13">
        <f t="shared" si="11"/>
        <v>2604188871.1347041</v>
      </c>
      <c r="BD17" s="14">
        <v>43188</v>
      </c>
    </row>
    <row r="18" spans="1:56" x14ac:dyDescent="0.25">
      <c r="A18" s="15">
        <f t="shared" si="1"/>
        <v>2674312244.5580783</v>
      </c>
      <c r="B18" s="20">
        <v>43150</v>
      </c>
      <c r="D18" s="12">
        <f t="shared" si="12"/>
        <v>55</v>
      </c>
      <c r="E18" s="17">
        <f t="shared" si="0"/>
        <v>517582746.03829318</v>
      </c>
      <c r="F18" s="18">
        <v>42497</v>
      </c>
      <c r="I18" s="12">
        <f t="shared" si="13"/>
        <v>114</v>
      </c>
      <c r="J18" s="13">
        <f t="shared" si="2"/>
        <v>774427572.06556916</v>
      </c>
      <c r="K18" s="14">
        <v>42498</v>
      </c>
      <c r="N18" s="12">
        <f t="shared" si="14"/>
        <v>102</v>
      </c>
      <c r="O18" s="13">
        <f t="shared" si="3"/>
        <v>129134183.82465786</v>
      </c>
      <c r="P18" s="14">
        <v>42498</v>
      </c>
      <c r="S18" s="22">
        <f t="shared" si="15"/>
        <v>142</v>
      </c>
      <c r="T18" s="13">
        <f t="shared" si="4"/>
        <v>1299362899.4943748</v>
      </c>
      <c r="U18" s="14">
        <v>42541</v>
      </c>
      <c r="X18" s="22">
        <f t="shared" si="16"/>
        <v>55</v>
      </c>
      <c r="Y18" s="13">
        <f t="shared" si="5"/>
        <v>910563173.97996211</v>
      </c>
      <c r="Z18" s="14">
        <v>42552</v>
      </c>
      <c r="AC18" s="22">
        <f t="shared" si="17"/>
        <v>96</v>
      </c>
      <c r="AD18" s="13">
        <f t="shared" si="6"/>
        <v>521166841.4074595</v>
      </c>
      <c r="AE18" s="14">
        <v>42719</v>
      </c>
      <c r="AH18" s="22">
        <f t="shared" si="18"/>
        <v>44</v>
      </c>
      <c r="AI18" s="13">
        <f t="shared" si="7"/>
        <v>735045139.44107831</v>
      </c>
      <c r="AJ18" s="14">
        <v>42763</v>
      </c>
      <c r="AM18" s="22">
        <f t="shared" si="19"/>
        <v>102</v>
      </c>
      <c r="AN18" s="13">
        <f t="shared" si="8"/>
        <v>2674312244.5580783</v>
      </c>
      <c r="AO18" s="14">
        <v>43150</v>
      </c>
      <c r="AR18" s="22">
        <f t="shared" si="20"/>
        <v>59</v>
      </c>
      <c r="AS18" s="13">
        <f t="shared" si="9"/>
        <v>410839578.99748623</v>
      </c>
      <c r="AT18" s="14">
        <v>43168</v>
      </c>
      <c r="AW18" s="22">
        <f t="shared" si="21"/>
        <v>78</v>
      </c>
      <c r="AX18" s="13">
        <f t="shared" si="10"/>
        <v>4686748353.0485029</v>
      </c>
      <c r="AY18" s="14">
        <v>43174</v>
      </c>
      <c r="BB18" s="22">
        <f t="shared" si="22"/>
        <v>63</v>
      </c>
      <c r="BC18" s="13">
        <f t="shared" si="11"/>
        <v>2604434221.6416678</v>
      </c>
      <c r="BD18" s="14">
        <v>43189</v>
      </c>
    </row>
    <row r="19" spans="1:56" x14ac:dyDescent="0.25">
      <c r="A19" s="15">
        <f t="shared" si="1"/>
        <v>2674545426.9512186</v>
      </c>
      <c r="B19" s="20">
        <v>43151</v>
      </c>
      <c r="D19" s="12">
        <f t="shared" si="12"/>
        <v>54</v>
      </c>
      <c r="E19" s="17">
        <f t="shared" si="0"/>
        <v>517643400.0279417</v>
      </c>
      <c r="F19" s="18">
        <v>42498</v>
      </c>
      <c r="I19" s="12">
        <f t="shared" si="13"/>
        <v>113</v>
      </c>
      <c r="J19" s="13">
        <f t="shared" si="2"/>
        <v>774517098.37234557</v>
      </c>
      <c r="K19" s="14">
        <v>42499</v>
      </c>
      <c r="N19" s="12">
        <f t="shared" si="14"/>
        <v>101</v>
      </c>
      <c r="O19" s="13">
        <f t="shared" si="3"/>
        <v>129149830.43348803</v>
      </c>
      <c r="P19" s="14">
        <v>42499</v>
      </c>
      <c r="S19" s="22">
        <f t="shared" si="15"/>
        <v>141</v>
      </c>
      <c r="T19" s="13">
        <f t="shared" si="4"/>
        <v>1299513817.464251</v>
      </c>
      <c r="U19" s="14">
        <v>42542</v>
      </c>
      <c r="X19" s="22">
        <f t="shared" si="16"/>
        <v>54</v>
      </c>
      <c r="Y19" s="13">
        <f t="shared" si="5"/>
        <v>910662774.47498429</v>
      </c>
      <c r="Z19" s="14">
        <v>42553</v>
      </c>
      <c r="AC19" s="22">
        <f t="shared" si="17"/>
        <v>95</v>
      </c>
      <c r="AD19" s="13">
        <f t="shared" si="6"/>
        <v>521229173.44512582</v>
      </c>
      <c r="AE19" s="14">
        <v>42720</v>
      </c>
      <c r="AH19" s="22">
        <f t="shared" si="18"/>
        <v>43</v>
      </c>
      <c r="AI19" s="13">
        <f t="shared" si="7"/>
        <v>735125369.99894309</v>
      </c>
      <c r="AJ19" s="14">
        <v>42764</v>
      </c>
      <c r="AM19" s="22">
        <f t="shared" si="19"/>
        <v>101</v>
      </c>
      <c r="AN19" s="13">
        <f t="shared" si="8"/>
        <v>2674545426.9512186</v>
      </c>
      <c r="AO19" s="14">
        <v>43151</v>
      </c>
      <c r="AR19" s="22">
        <f t="shared" si="20"/>
        <v>58</v>
      </c>
      <c r="AS19" s="13">
        <f t="shared" si="9"/>
        <v>410881387.64563805</v>
      </c>
      <c r="AT19" s="14">
        <v>43169</v>
      </c>
      <c r="AW19" s="22">
        <f t="shared" si="21"/>
        <v>77</v>
      </c>
      <c r="AX19" s="13">
        <f t="shared" si="10"/>
        <v>4687136733.7579079</v>
      </c>
      <c r="AY19" s="14">
        <v>43175</v>
      </c>
      <c r="BB19" s="22">
        <f t="shared" si="22"/>
        <v>62</v>
      </c>
      <c r="BC19" s="13">
        <f t="shared" si="11"/>
        <v>2604679618.38379</v>
      </c>
      <c r="BD19" s="14">
        <v>43190</v>
      </c>
    </row>
    <row r="20" spans="1:56" x14ac:dyDescent="0.25">
      <c r="A20" s="15">
        <f t="shared" si="1"/>
        <v>2674778650.0118399</v>
      </c>
      <c r="B20" s="20">
        <v>43152</v>
      </c>
      <c r="D20" s="12">
        <f t="shared" si="12"/>
        <v>53</v>
      </c>
      <c r="E20" s="17">
        <f t="shared" si="0"/>
        <v>517704068.23497909</v>
      </c>
      <c r="F20" s="18">
        <v>42499</v>
      </c>
      <c r="I20" s="12">
        <f t="shared" si="13"/>
        <v>112</v>
      </c>
      <c r="J20" s="13">
        <f t="shared" si="2"/>
        <v>774606645.38057053</v>
      </c>
      <c r="K20" s="14">
        <v>42500</v>
      </c>
      <c r="N20" s="12">
        <f t="shared" si="14"/>
        <v>100</v>
      </c>
      <c r="O20" s="13">
        <f t="shared" si="3"/>
        <v>129165480.83443624</v>
      </c>
      <c r="P20" s="14">
        <v>42500</v>
      </c>
      <c r="S20" s="22">
        <f t="shared" si="15"/>
        <v>140</v>
      </c>
      <c r="T20" s="13">
        <f t="shared" si="4"/>
        <v>1299664770.4957404</v>
      </c>
      <c r="U20" s="14">
        <v>42543</v>
      </c>
      <c r="X20" s="22">
        <f t="shared" si="16"/>
        <v>53</v>
      </c>
      <c r="Y20" s="13">
        <f t="shared" si="5"/>
        <v>910762396.76167154</v>
      </c>
      <c r="Z20" s="14">
        <v>42554</v>
      </c>
      <c r="AC20" s="22">
        <f t="shared" si="17"/>
        <v>94</v>
      </c>
      <c r="AD20" s="13">
        <f t="shared" si="6"/>
        <v>521291520.3945145</v>
      </c>
      <c r="AE20" s="14">
        <v>42721</v>
      </c>
      <c r="AH20" s="22">
        <f t="shared" si="18"/>
        <v>42</v>
      </c>
      <c r="AI20" s="13">
        <f t="shared" si="7"/>
        <v>735205618.07313383</v>
      </c>
      <c r="AJ20" s="14">
        <v>42765</v>
      </c>
      <c r="AM20" s="22">
        <f t="shared" si="19"/>
        <v>100</v>
      </c>
      <c r="AN20" s="13">
        <f t="shared" si="8"/>
        <v>2674778650.0118399</v>
      </c>
      <c r="AO20" s="14">
        <v>43152</v>
      </c>
      <c r="AR20" s="22">
        <f t="shared" si="20"/>
        <v>57</v>
      </c>
      <c r="AS20" s="13">
        <f t="shared" si="9"/>
        <v>410923204.80388021</v>
      </c>
      <c r="AT20" s="14">
        <v>43170</v>
      </c>
      <c r="AW20" s="22">
        <f t="shared" si="21"/>
        <v>76</v>
      </c>
      <c r="AX20" s="13">
        <f t="shared" si="10"/>
        <v>4687525178.8411875</v>
      </c>
      <c r="AY20" s="14">
        <v>43176</v>
      </c>
      <c r="BB20" s="22">
        <f t="shared" si="22"/>
        <v>61</v>
      </c>
      <c r="BC20" s="13">
        <f t="shared" si="11"/>
        <v>2604925061.3741422</v>
      </c>
      <c r="BD20" s="14">
        <v>43191</v>
      </c>
    </row>
    <row r="21" spans="1:56" x14ac:dyDescent="0.25">
      <c r="A21" s="15">
        <f t="shared" si="1"/>
        <v>2675011913.7505798</v>
      </c>
      <c r="B21" s="20">
        <v>43153</v>
      </c>
      <c r="D21" s="12">
        <f t="shared" si="12"/>
        <v>52</v>
      </c>
      <c r="E21" s="17">
        <f t="shared" si="0"/>
        <v>517764750.66440511</v>
      </c>
      <c r="F21" s="18">
        <v>42500</v>
      </c>
      <c r="I21" s="12">
        <f t="shared" si="13"/>
        <v>111</v>
      </c>
      <c r="J21" s="13">
        <f t="shared" si="2"/>
        <v>774696213.09742498</v>
      </c>
      <c r="K21" s="14">
        <v>42501</v>
      </c>
      <c r="N21" s="12">
        <f t="shared" si="14"/>
        <v>99</v>
      </c>
      <c r="O21" s="13">
        <f t="shared" si="3"/>
        <v>129181135.02888127</v>
      </c>
      <c r="P21" s="14">
        <v>42501</v>
      </c>
      <c r="S21" s="22">
        <f t="shared" si="15"/>
        <v>139</v>
      </c>
      <c r="T21" s="13">
        <f t="shared" si="4"/>
        <v>1299815758.6010623</v>
      </c>
      <c r="U21" s="14">
        <v>42544</v>
      </c>
      <c r="X21" s="22">
        <f t="shared" si="16"/>
        <v>52</v>
      </c>
      <c r="Y21" s="13">
        <f t="shared" si="5"/>
        <v>910862040.84717655</v>
      </c>
      <c r="Z21" s="14">
        <v>42555</v>
      </c>
      <c r="AC21" s="22">
        <f t="shared" si="17"/>
        <v>93</v>
      </c>
      <c r="AD21" s="13">
        <f t="shared" si="6"/>
        <v>521353882.26097745</v>
      </c>
      <c r="AE21" s="14">
        <v>42722</v>
      </c>
      <c r="AH21" s="22">
        <f t="shared" si="18"/>
        <v>41</v>
      </c>
      <c r="AI21" s="13">
        <f t="shared" si="7"/>
        <v>735285883.66938734</v>
      </c>
      <c r="AJ21" s="14">
        <v>42766</v>
      </c>
      <c r="AM21" s="22">
        <f t="shared" si="19"/>
        <v>99</v>
      </c>
      <c r="AN21" s="13">
        <f t="shared" si="8"/>
        <v>2675011913.7505798</v>
      </c>
      <c r="AO21" s="14">
        <v>43153</v>
      </c>
      <c r="AR21" s="22">
        <f t="shared" si="20"/>
        <v>56</v>
      </c>
      <c r="AS21" s="13">
        <f t="shared" si="9"/>
        <v>410965030.47481132</v>
      </c>
      <c r="AT21" s="14">
        <v>43171</v>
      </c>
      <c r="AW21" s="22">
        <f t="shared" si="21"/>
        <v>75</v>
      </c>
      <c r="AX21" s="13">
        <f t="shared" si="10"/>
        <v>4687913688.3143482</v>
      </c>
      <c r="AY21" s="14">
        <v>43177</v>
      </c>
      <c r="BB21" s="22">
        <f t="shared" si="22"/>
        <v>60</v>
      </c>
      <c r="BC21" s="13">
        <f t="shared" si="11"/>
        <v>2605170550.6257982</v>
      </c>
      <c r="BD21" s="14">
        <v>43192</v>
      </c>
    </row>
    <row r="22" spans="1:56" x14ac:dyDescent="0.25">
      <c r="A22" s="15">
        <f t="shared" si="1"/>
        <v>2675245218.1780839</v>
      </c>
      <c r="B22" s="20">
        <v>43154</v>
      </c>
      <c r="D22" s="12">
        <f t="shared" si="12"/>
        <v>51</v>
      </c>
      <c r="E22" s="17">
        <f t="shared" si="0"/>
        <v>517825447.32122135</v>
      </c>
      <c r="F22" s="18">
        <v>42501</v>
      </c>
      <c r="I22" s="12">
        <f t="shared" si="13"/>
        <v>110</v>
      </c>
      <c r="J22" s="13">
        <f t="shared" si="2"/>
        <v>774785801.53009379</v>
      </c>
      <c r="K22" s="14">
        <v>42502</v>
      </c>
      <c r="N22" s="12">
        <f t="shared" si="14"/>
        <v>98</v>
      </c>
      <c r="O22" s="13">
        <f t="shared" si="3"/>
        <v>129196793.0182025</v>
      </c>
      <c r="P22" s="14">
        <v>42502</v>
      </c>
      <c r="S22" s="22">
        <f t="shared" si="15"/>
        <v>138</v>
      </c>
      <c r="T22" s="13">
        <f t="shared" si="4"/>
        <v>1299966781.7924421</v>
      </c>
      <c r="U22" s="14">
        <v>42545</v>
      </c>
      <c r="X22" s="22">
        <f t="shared" si="16"/>
        <v>51</v>
      </c>
      <c r="Y22" s="13">
        <f t="shared" si="5"/>
        <v>910961706.73865449</v>
      </c>
      <c r="Z22" s="14">
        <v>42556</v>
      </c>
      <c r="AC22" s="22">
        <f t="shared" si="17"/>
        <v>92</v>
      </c>
      <c r="AD22" s="13">
        <f t="shared" si="6"/>
        <v>521416259.04986876</v>
      </c>
      <c r="AE22" s="14">
        <v>42723</v>
      </c>
      <c r="AH22" s="22">
        <f t="shared" si="18"/>
        <v>40</v>
      </c>
      <c r="AI22" s="13">
        <f t="shared" si="7"/>
        <v>735366166.7934432</v>
      </c>
      <c r="AJ22" s="14">
        <v>42767</v>
      </c>
      <c r="AM22" s="22">
        <f t="shared" si="19"/>
        <v>98</v>
      </c>
      <c r="AN22" s="13">
        <f t="shared" si="8"/>
        <v>2675245218.1780839</v>
      </c>
      <c r="AO22" s="14">
        <v>43154</v>
      </c>
      <c r="AR22" s="22">
        <f t="shared" si="20"/>
        <v>55</v>
      </c>
      <c r="AS22" s="13">
        <f t="shared" si="9"/>
        <v>411006864.66103083</v>
      </c>
      <c r="AT22" s="14">
        <v>43172</v>
      </c>
      <c r="AW22" s="22">
        <f t="shared" si="21"/>
        <v>74</v>
      </c>
      <c r="AX22" s="13">
        <f t="shared" si="10"/>
        <v>4688302262.1934013</v>
      </c>
      <c r="AY22" s="14">
        <v>43178</v>
      </c>
      <c r="BB22" s="22">
        <f t="shared" si="22"/>
        <v>59</v>
      </c>
      <c r="BC22" s="13">
        <f t="shared" si="11"/>
        <v>2605416086.1518397</v>
      </c>
      <c r="BD22" s="14">
        <v>43193</v>
      </c>
    </row>
    <row r="23" spans="1:56" x14ac:dyDescent="0.25">
      <c r="A23" s="15">
        <f t="shared" si="1"/>
        <v>2675478563.304997</v>
      </c>
      <c r="B23" s="20">
        <v>43155</v>
      </c>
      <c r="D23" s="12">
        <f t="shared" si="12"/>
        <v>50</v>
      </c>
      <c r="E23" s="17">
        <f t="shared" si="0"/>
        <v>517886158.21043211</v>
      </c>
      <c r="F23" s="18">
        <v>42502</v>
      </c>
      <c r="I23" s="12">
        <f t="shared" si="13"/>
        <v>109</v>
      </c>
      <c r="J23" s="13">
        <f t="shared" si="2"/>
        <v>774875410.68576443</v>
      </c>
      <c r="K23" s="14">
        <v>42503</v>
      </c>
      <c r="N23" s="12">
        <f t="shared" si="14"/>
        <v>97</v>
      </c>
      <c r="O23" s="13">
        <f t="shared" si="3"/>
        <v>129212454.80378008</v>
      </c>
      <c r="P23" s="14">
        <v>42503</v>
      </c>
      <c r="S23" s="22">
        <f t="shared" si="15"/>
        <v>137</v>
      </c>
      <c r="T23" s="13">
        <f t="shared" si="4"/>
        <v>1300117840.0821109</v>
      </c>
      <c r="U23" s="14">
        <v>42546</v>
      </c>
      <c r="X23" s="22">
        <f t="shared" si="16"/>
        <v>50</v>
      </c>
      <c r="Y23" s="13">
        <f t="shared" si="5"/>
        <v>911061394.44326437</v>
      </c>
      <c r="Z23" s="14">
        <v>42557</v>
      </c>
      <c r="AC23" s="22">
        <f t="shared" si="17"/>
        <v>91</v>
      </c>
      <c r="AD23" s="13">
        <f t="shared" si="6"/>
        <v>521478650.76654518</v>
      </c>
      <c r="AE23" s="14">
        <v>42724</v>
      </c>
      <c r="AH23" s="22">
        <f t="shared" si="18"/>
        <v>39</v>
      </c>
      <c r="AI23" s="13">
        <f t="shared" si="7"/>
        <v>735446467.45104361</v>
      </c>
      <c r="AJ23" s="14">
        <v>42768</v>
      </c>
      <c r="AM23" s="22">
        <f t="shared" si="19"/>
        <v>97</v>
      </c>
      <c r="AN23" s="13">
        <f t="shared" si="8"/>
        <v>2675478563.304997</v>
      </c>
      <c r="AO23" s="14">
        <v>43155</v>
      </c>
      <c r="AR23" s="22">
        <f t="shared" si="20"/>
        <v>54</v>
      </c>
      <c r="AS23" s="13">
        <f t="shared" si="9"/>
        <v>411048707.36513966</v>
      </c>
      <c r="AT23" s="14">
        <v>43173</v>
      </c>
      <c r="AW23" s="22">
        <f t="shared" si="21"/>
        <v>73</v>
      </c>
      <c r="AX23" s="13">
        <f t="shared" si="10"/>
        <v>4688690900.4943647</v>
      </c>
      <c r="AY23" s="14">
        <v>43179</v>
      </c>
      <c r="BB23" s="22">
        <f t="shared" si="22"/>
        <v>58</v>
      </c>
      <c r="BC23" s="13">
        <f t="shared" si="11"/>
        <v>2605661667.9653516</v>
      </c>
      <c r="BD23" s="14">
        <v>43194</v>
      </c>
    </row>
    <row r="24" spans="1:56" x14ac:dyDescent="0.25">
      <c r="A24" s="15">
        <f t="shared" si="1"/>
        <v>2675711949.1419721</v>
      </c>
      <c r="B24" s="20">
        <v>43156</v>
      </c>
      <c r="D24" s="12">
        <f t="shared" si="12"/>
        <v>49</v>
      </c>
      <c r="E24" s="17">
        <f t="shared" si="0"/>
        <v>517946883.33704376</v>
      </c>
      <c r="F24" s="18">
        <v>42503</v>
      </c>
      <c r="I24" s="12">
        <f t="shared" si="13"/>
        <v>108</v>
      </c>
      <c r="J24" s="13">
        <f t="shared" si="2"/>
        <v>774965040.57162786</v>
      </c>
      <c r="K24" s="14">
        <v>42504</v>
      </c>
      <c r="N24" s="12">
        <f t="shared" si="14"/>
        <v>96</v>
      </c>
      <c r="O24" s="13">
        <f t="shared" si="3"/>
        <v>129228120.38699473</v>
      </c>
      <c r="P24" s="14">
        <v>42504</v>
      </c>
      <c r="S24" s="22">
        <f t="shared" si="15"/>
        <v>136</v>
      </c>
      <c r="T24" s="13">
        <f t="shared" si="4"/>
        <v>1300268933.4823058</v>
      </c>
      <c r="U24" s="14">
        <v>42547</v>
      </c>
      <c r="X24" s="22">
        <f t="shared" si="16"/>
        <v>49</v>
      </c>
      <c r="Y24" s="13">
        <f t="shared" si="5"/>
        <v>911161103.96816826</v>
      </c>
      <c r="Z24" s="14">
        <v>42558</v>
      </c>
      <c r="AC24" s="22">
        <f t="shared" si="17"/>
        <v>90</v>
      </c>
      <c r="AD24" s="13">
        <f t="shared" si="6"/>
        <v>521541057.4163661</v>
      </c>
      <c r="AE24" s="14">
        <v>42725</v>
      </c>
      <c r="AH24" s="22">
        <f t="shared" si="18"/>
        <v>38</v>
      </c>
      <c r="AI24" s="13">
        <f t="shared" si="7"/>
        <v>735526785.64793265</v>
      </c>
      <c r="AJ24" s="14">
        <v>42769</v>
      </c>
      <c r="AM24" s="22">
        <f t="shared" si="19"/>
        <v>96</v>
      </c>
      <c r="AN24" s="13">
        <f t="shared" si="8"/>
        <v>2675711949.1419721</v>
      </c>
      <c r="AO24" s="14">
        <v>43156</v>
      </c>
      <c r="AR24" s="22">
        <f t="shared" si="20"/>
        <v>53</v>
      </c>
      <c r="AS24" s="13">
        <f t="shared" si="9"/>
        <v>411090558.58973944</v>
      </c>
      <c r="AT24" s="14">
        <v>43174</v>
      </c>
      <c r="AW24" s="22">
        <f t="shared" si="21"/>
        <v>72</v>
      </c>
      <c r="AX24" s="13">
        <f t="shared" si="10"/>
        <v>4689079603.2332592</v>
      </c>
      <c r="AY24" s="14">
        <v>43180</v>
      </c>
      <c r="BB24" s="22">
        <f t="shared" si="22"/>
        <v>57</v>
      </c>
      <c r="BC24" s="13">
        <f t="shared" si="11"/>
        <v>2605907296.0794234</v>
      </c>
      <c r="BD24" s="14">
        <v>43195</v>
      </c>
    </row>
    <row r="25" spans="1:56" x14ac:dyDescent="0.25">
      <c r="A25" s="15">
        <f t="shared" si="1"/>
        <v>2675945375.6996622</v>
      </c>
      <c r="B25" s="20">
        <v>43157</v>
      </c>
      <c r="D25" s="12">
        <f t="shared" si="12"/>
        <v>48</v>
      </c>
      <c r="E25" s="17">
        <f t="shared" si="0"/>
        <v>518007622.70606512</v>
      </c>
      <c r="F25" s="18">
        <v>42504</v>
      </c>
      <c r="I25" s="12">
        <f t="shared" si="13"/>
        <v>107</v>
      </c>
      <c r="J25" s="13">
        <f t="shared" si="2"/>
        <v>775054691.19487882</v>
      </c>
      <c r="K25" s="14">
        <v>42505</v>
      </c>
      <c r="N25" s="12">
        <f t="shared" si="14"/>
        <v>95</v>
      </c>
      <c r="O25" s="13">
        <f t="shared" si="3"/>
        <v>129243789.76922792</v>
      </c>
      <c r="P25" s="14">
        <v>42505</v>
      </c>
      <c r="S25" s="22">
        <f t="shared" si="15"/>
        <v>135</v>
      </c>
      <c r="T25" s="13">
        <f t="shared" si="4"/>
        <v>1300420062.0052693</v>
      </c>
      <c r="U25" s="14">
        <v>42548</v>
      </c>
      <c r="X25" s="22">
        <f t="shared" si="16"/>
        <v>48</v>
      </c>
      <c r="Y25" s="13">
        <f t="shared" si="5"/>
        <v>911260835.32053089</v>
      </c>
      <c r="Z25" s="14">
        <v>42559</v>
      </c>
      <c r="AC25" s="22">
        <f t="shared" si="17"/>
        <v>89</v>
      </c>
      <c r="AD25" s="13">
        <f t="shared" si="6"/>
        <v>521603479.00469333</v>
      </c>
      <c r="AE25" s="14">
        <v>42726</v>
      </c>
      <c r="AH25" s="22">
        <f t="shared" si="18"/>
        <v>37</v>
      </c>
      <c r="AI25" s="13">
        <f t="shared" si="7"/>
        <v>735607121.38985777</v>
      </c>
      <c r="AJ25" s="14">
        <v>42770</v>
      </c>
      <c r="AM25" s="22">
        <f t="shared" si="19"/>
        <v>95</v>
      </c>
      <c r="AN25" s="13">
        <f t="shared" si="8"/>
        <v>2675945375.6996622</v>
      </c>
      <c r="AO25" s="14">
        <v>43157</v>
      </c>
      <c r="AR25" s="22">
        <f t="shared" si="20"/>
        <v>52</v>
      </c>
      <c r="AS25" s="13">
        <f t="shared" si="9"/>
        <v>411132418.33743316</v>
      </c>
      <c r="AT25" s="14">
        <v>43175</v>
      </c>
      <c r="AW25" s="22">
        <f t="shared" si="21"/>
        <v>71</v>
      </c>
      <c r="AX25" s="13">
        <f t="shared" si="10"/>
        <v>4689468370.4261131</v>
      </c>
      <c r="AY25" s="14">
        <v>43181</v>
      </c>
      <c r="BB25" s="22">
        <f t="shared" si="22"/>
        <v>56</v>
      </c>
      <c r="BC25" s="13">
        <f t="shared" si="11"/>
        <v>2606152970.5071516</v>
      </c>
      <c r="BD25" s="14">
        <v>43196</v>
      </c>
    </row>
    <row r="26" spans="1:56" x14ac:dyDescent="0.25">
      <c r="A26" s="15">
        <f>+AN26+AS8</f>
        <v>3086600802.9887261</v>
      </c>
      <c r="B26" s="20">
        <v>43158</v>
      </c>
      <c r="D26" s="12">
        <f t="shared" si="12"/>
        <v>47</v>
      </c>
      <c r="E26" s="17">
        <f t="shared" si="0"/>
        <v>518068376.3225075</v>
      </c>
      <c r="F26" s="18">
        <v>42505</v>
      </c>
      <c r="I26" s="12">
        <f t="shared" si="13"/>
        <v>106</v>
      </c>
      <c r="J26" s="13">
        <f t="shared" si="2"/>
        <v>775144362.56271493</v>
      </c>
      <c r="K26" s="14">
        <v>42506</v>
      </c>
      <c r="N26" s="12">
        <f t="shared" si="14"/>
        <v>94</v>
      </c>
      <c r="O26" s="13">
        <f t="shared" si="3"/>
        <v>129259462.95186174</v>
      </c>
      <c r="P26" s="14">
        <v>42506</v>
      </c>
      <c r="S26" s="22">
        <f t="shared" si="15"/>
        <v>134</v>
      </c>
      <c r="T26" s="13">
        <f t="shared" si="4"/>
        <v>1300571225.6632497</v>
      </c>
      <c r="U26" s="14">
        <v>42549</v>
      </c>
      <c r="X26" s="22">
        <f t="shared" si="16"/>
        <v>47</v>
      </c>
      <c r="Y26" s="13">
        <f t="shared" si="5"/>
        <v>911360588.50752044</v>
      </c>
      <c r="Z26" s="14">
        <v>42560</v>
      </c>
      <c r="AC26" s="22">
        <f t="shared" si="17"/>
        <v>88</v>
      </c>
      <c r="AD26" s="13">
        <f t="shared" si="6"/>
        <v>521665915.53689146</v>
      </c>
      <c r="AE26" s="14">
        <v>42727</v>
      </c>
      <c r="AH26" s="22">
        <f t="shared" si="18"/>
        <v>36</v>
      </c>
      <c r="AI26" s="13">
        <f t="shared" si="7"/>
        <v>735687474.68256831</v>
      </c>
      <c r="AJ26" s="14">
        <v>42771</v>
      </c>
      <c r="AM26" s="22">
        <f t="shared" si="19"/>
        <v>94</v>
      </c>
      <c r="AN26" s="13">
        <f t="shared" si="8"/>
        <v>2676178842.9887261</v>
      </c>
      <c r="AO26" s="14">
        <v>43158</v>
      </c>
      <c r="AR26" s="22">
        <f t="shared" si="20"/>
        <v>51</v>
      </c>
      <c r="AS26" s="13">
        <f t="shared" si="9"/>
        <v>411174286.61082458</v>
      </c>
      <c r="AT26" s="14">
        <v>43176</v>
      </c>
      <c r="AW26" s="22">
        <f t="shared" si="21"/>
        <v>70</v>
      </c>
      <c r="AX26" s="13">
        <f t="shared" si="10"/>
        <v>4689857202.0889587</v>
      </c>
      <c r="AY26" s="14">
        <v>43182</v>
      </c>
      <c r="BB26" s="22">
        <f t="shared" si="22"/>
        <v>55</v>
      </c>
      <c r="BC26" s="13">
        <f t="shared" si="11"/>
        <v>2606398691.2616343</v>
      </c>
      <c r="BD26" s="14">
        <v>43197</v>
      </c>
    </row>
    <row r="27" spans="1:56" x14ac:dyDescent="0.25">
      <c r="A27" s="15">
        <f t="shared" ref="A27:A31" si="23">+AN27+AS9</f>
        <v>3086876034.7097645</v>
      </c>
      <c r="B27" s="20">
        <v>43159</v>
      </c>
      <c r="D27" s="12">
        <f t="shared" si="12"/>
        <v>46</v>
      </c>
      <c r="E27" s="17">
        <f t="shared" si="0"/>
        <v>518129144.19138426</v>
      </c>
      <c r="F27" s="18">
        <v>42506</v>
      </c>
      <c r="I27" s="12">
        <f t="shared" si="13"/>
        <v>105</v>
      </c>
      <c r="J27" s="13">
        <f t="shared" si="2"/>
        <v>775234054.68233705</v>
      </c>
      <c r="K27" s="14">
        <v>42507</v>
      </c>
      <c r="N27" s="12">
        <f t="shared" si="14"/>
        <v>93</v>
      </c>
      <c r="O27" s="13">
        <f t="shared" si="3"/>
        <v>129275139.93627891</v>
      </c>
      <c r="P27" s="14">
        <v>42507</v>
      </c>
      <c r="S27" s="22">
        <f t="shared" si="15"/>
        <v>133</v>
      </c>
      <c r="T27" s="13">
        <f t="shared" si="4"/>
        <v>1300722424.4685004</v>
      </c>
      <c r="U27" s="14">
        <v>42550</v>
      </c>
      <c r="X27" s="22">
        <f t="shared" si="16"/>
        <v>46</v>
      </c>
      <c r="Y27" s="13">
        <f t="shared" si="5"/>
        <v>911460363.53630865</v>
      </c>
      <c r="Z27" s="14">
        <v>42561</v>
      </c>
      <c r="AC27" s="22">
        <f t="shared" si="17"/>
        <v>87</v>
      </c>
      <c r="AD27" s="13">
        <f t="shared" si="6"/>
        <v>521728367.01832747</v>
      </c>
      <c r="AE27" s="14">
        <v>42728</v>
      </c>
      <c r="AH27" s="22">
        <f t="shared" si="18"/>
        <v>35</v>
      </c>
      <c r="AI27" s="13">
        <f t="shared" si="7"/>
        <v>735767845.53181636</v>
      </c>
      <c r="AJ27" s="14">
        <v>42772</v>
      </c>
      <c r="AM27" s="22">
        <f t="shared" si="19"/>
        <v>93</v>
      </c>
      <c r="AN27" s="13">
        <f t="shared" si="8"/>
        <v>2676412351.0198255</v>
      </c>
      <c r="AO27" s="14">
        <v>43159</v>
      </c>
      <c r="AR27" s="22">
        <f t="shared" si="20"/>
        <v>50</v>
      </c>
      <c r="AS27" s="13">
        <f t="shared" si="9"/>
        <v>411216163.41251856</v>
      </c>
      <c r="AT27" s="14">
        <v>43177</v>
      </c>
      <c r="AW27" s="22">
        <f t="shared" si="21"/>
        <v>69</v>
      </c>
      <c r="AX27" s="13">
        <f t="shared" si="10"/>
        <v>4690246098.2378349</v>
      </c>
      <c r="AY27" s="14">
        <v>43183</v>
      </c>
      <c r="BB27" s="22">
        <f t="shared" si="22"/>
        <v>54</v>
      </c>
      <c r="BC27" s="13">
        <f t="shared" si="11"/>
        <v>2606644458.355978</v>
      </c>
      <c r="BD27" s="14">
        <v>43198</v>
      </c>
    </row>
    <row r="28" spans="1:56" x14ac:dyDescent="0.25">
      <c r="A28" s="15">
        <f t="shared" si="23"/>
        <v>3087151315.6676674</v>
      </c>
      <c r="B28" s="20">
        <v>43160</v>
      </c>
      <c r="D28" s="12">
        <f t="shared" si="12"/>
        <v>45</v>
      </c>
      <c r="E28" s="17">
        <f t="shared" si="0"/>
        <v>518189926.31771153</v>
      </c>
      <c r="F28" s="18">
        <v>42507</v>
      </c>
      <c r="I28" s="12">
        <f t="shared" si="13"/>
        <v>104</v>
      </c>
      <c r="J28" s="13">
        <f t="shared" si="2"/>
        <v>775323767.56095004</v>
      </c>
      <c r="K28" s="14">
        <v>42508</v>
      </c>
      <c r="N28" s="12">
        <f t="shared" si="14"/>
        <v>92</v>
      </c>
      <c r="O28" s="13">
        <f t="shared" si="3"/>
        <v>129290820.72386295</v>
      </c>
      <c r="P28" s="14">
        <v>42508</v>
      </c>
      <c r="S28" s="22">
        <f t="shared" si="15"/>
        <v>132</v>
      </c>
      <c r="T28" s="13">
        <f t="shared" si="4"/>
        <v>1300873658.4332817</v>
      </c>
      <c r="U28" s="14">
        <v>42551</v>
      </c>
      <c r="X28" s="22">
        <f t="shared" si="16"/>
        <v>45</v>
      </c>
      <c r="Y28" s="13">
        <f t="shared" si="5"/>
        <v>911560160.41406953</v>
      </c>
      <c r="Z28" s="14">
        <v>42562</v>
      </c>
      <c r="AC28" s="22">
        <f t="shared" si="17"/>
        <v>86</v>
      </c>
      <c r="AD28" s="13">
        <f t="shared" si="6"/>
        <v>521790833.45437092</v>
      </c>
      <c r="AE28" s="14">
        <v>42729</v>
      </c>
      <c r="AH28" s="22">
        <f t="shared" si="18"/>
        <v>34</v>
      </c>
      <c r="AI28" s="13">
        <f t="shared" si="7"/>
        <v>735848233.94335651</v>
      </c>
      <c r="AJ28" s="14">
        <v>42773</v>
      </c>
      <c r="AM28" s="22">
        <f t="shared" si="19"/>
        <v>92</v>
      </c>
      <c r="AN28" s="13">
        <f t="shared" si="8"/>
        <v>2676645899.803627</v>
      </c>
      <c r="AO28" s="14">
        <v>43160</v>
      </c>
      <c r="AR28" s="22">
        <f t="shared" si="20"/>
        <v>49</v>
      </c>
      <c r="AS28" s="13">
        <f t="shared" si="9"/>
        <v>411258048.7451213</v>
      </c>
      <c r="AT28" s="14">
        <v>43178</v>
      </c>
      <c r="AW28" s="22">
        <f t="shared" si="21"/>
        <v>68</v>
      </c>
      <c r="AX28" s="13">
        <f t="shared" si="10"/>
        <v>4690635058.8887835</v>
      </c>
      <c r="AY28" s="14">
        <v>43184</v>
      </c>
      <c r="BB28" s="22">
        <f t="shared" si="22"/>
        <v>53</v>
      </c>
      <c r="BC28" s="13">
        <f t="shared" si="11"/>
        <v>2606890271.8032918</v>
      </c>
      <c r="BD28" s="14">
        <v>43199</v>
      </c>
    </row>
    <row r="29" spans="1:56" x14ac:dyDescent="0.25">
      <c r="A29" s="15">
        <f t="shared" si="23"/>
        <v>3087426645.8756909</v>
      </c>
      <c r="B29" s="20">
        <v>43161</v>
      </c>
      <c r="D29" s="12">
        <f t="shared" si="12"/>
        <v>44</v>
      </c>
      <c r="E29" s="17">
        <f t="shared" si="0"/>
        <v>518250722.70650733</v>
      </c>
      <c r="F29" s="18">
        <v>42508</v>
      </c>
      <c r="I29" s="12">
        <f t="shared" si="13"/>
        <v>103</v>
      </c>
      <c r="J29" s="13">
        <f t="shared" si="2"/>
        <v>775413501.20576143</v>
      </c>
      <c r="K29" s="14">
        <v>42509</v>
      </c>
      <c r="N29" s="12">
        <f t="shared" si="14"/>
        <v>91</v>
      </c>
      <c r="O29" s="13">
        <f t="shared" si="3"/>
        <v>129306505.31599794</v>
      </c>
      <c r="P29" s="14">
        <v>42509</v>
      </c>
      <c r="S29" s="22">
        <f t="shared" si="15"/>
        <v>131</v>
      </c>
      <c r="T29" s="13">
        <f t="shared" si="4"/>
        <v>1301024927.5698588</v>
      </c>
      <c r="U29" s="14">
        <v>42552</v>
      </c>
      <c r="X29" s="22">
        <f t="shared" si="16"/>
        <v>44</v>
      </c>
      <c r="Y29" s="13">
        <f t="shared" si="5"/>
        <v>911659979.14798069</v>
      </c>
      <c r="Z29" s="14">
        <v>42563</v>
      </c>
      <c r="AC29" s="22">
        <f t="shared" si="17"/>
        <v>85</v>
      </c>
      <c r="AD29" s="13">
        <f t="shared" si="6"/>
        <v>521853314.85039407</v>
      </c>
      <c r="AE29" s="14">
        <v>42730</v>
      </c>
      <c r="AH29" s="22">
        <f t="shared" si="18"/>
        <v>33</v>
      </c>
      <c r="AI29" s="13">
        <f t="shared" si="7"/>
        <v>735928639.92294586</v>
      </c>
      <c r="AJ29" s="14">
        <v>42774</v>
      </c>
      <c r="AM29" s="22">
        <f t="shared" si="19"/>
        <v>91</v>
      </c>
      <c r="AN29" s="13">
        <f t="shared" si="8"/>
        <v>2676879489.3507986</v>
      </c>
      <c r="AO29" s="14">
        <v>43161</v>
      </c>
      <c r="AR29" s="22">
        <f t="shared" si="20"/>
        <v>48</v>
      </c>
      <c r="AS29" s="13">
        <f t="shared" si="9"/>
        <v>411299942.61123979</v>
      </c>
      <c r="AT29" s="14">
        <v>43179</v>
      </c>
      <c r="AW29" s="22">
        <f t="shared" si="21"/>
        <v>67</v>
      </c>
      <c r="AX29" s="13">
        <f t="shared" si="10"/>
        <v>4691024084.0578556</v>
      </c>
      <c r="AY29" s="14">
        <v>43185</v>
      </c>
      <c r="BB29" s="22">
        <f t="shared" si="22"/>
        <v>52</v>
      </c>
      <c r="BC29" s="13">
        <f t="shared" si="11"/>
        <v>2607136131.6166911</v>
      </c>
      <c r="BD29" s="14">
        <v>43200</v>
      </c>
    </row>
    <row r="30" spans="1:56" x14ac:dyDescent="0.25">
      <c r="A30" s="15">
        <f t="shared" si="23"/>
        <v>3087702025.3470984</v>
      </c>
      <c r="B30" s="20">
        <v>43162</v>
      </c>
      <c r="D30" s="12">
        <f t="shared" si="12"/>
        <v>43</v>
      </c>
      <c r="E30" s="17">
        <f t="shared" si="0"/>
        <v>518311533.36279243</v>
      </c>
      <c r="F30" s="18">
        <v>42509</v>
      </c>
      <c r="I30" s="12">
        <f t="shared" si="13"/>
        <v>102</v>
      </c>
      <c r="J30" s="13">
        <f t="shared" si="2"/>
        <v>775503255.62398207</v>
      </c>
      <c r="K30" s="14">
        <v>42510</v>
      </c>
      <c r="N30" s="12">
        <f t="shared" si="14"/>
        <v>90</v>
      </c>
      <c r="O30" s="13">
        <f t="shared" si="3"/>
        <v>129322193.71406868</v>
      </c>
      <c r="P30" s="14">
        <v>42510</v>
      </c>
      <c r="S30" s="22">
        <f t="shared" si="15"/>
        <v>130</v>
      </c>
      <c r="T30" s="13">
        <f t="shared" si="4"/>
        <v>1301176231.8905027</v>
      </c>
      <c r="U30" s="14">
        <v>42553</v>
      </c>
      <c r="X30" s="22">
        <f t="shared" si="16"/>
        <v>43</v>
      </c>
      <c r="Y30" s="13">
        <f t="shared" si="5"/>
        <v>911759819.74522328</v>
      </c>
      <c r="Z30" s="14">
        <v>42564</v>
      </c>
      <c r="AC30" s="22">
        <f t="shared" si="17"/>
        <v>84</v>
      </c>
      <c r="AD30" s="13">
        <f t="shared" si="6"/>
        <v>521915811.21177161</v>
      </c>
      <c r="AE30" s="14">
        <v>42731</v>
      </c>
      <c r="AH30" s="22">
        <f t="shared" si="18"/>
        <v>32</v>
      </c>
      <c r="AI30" s="13">
        <f t="shared" si="7"/>
        <v>736009063.47634399</v>
      </c>
      <c r="AJ30" s="14">
        <v>42775</v>
      </c>
      <c r="AM30" s="22">
        <f t="shared" si="19"/>
        <v>90</v>
      </c>
      <c r="AN30" s="13">
        <f t="shared" si="8"/>
        <v>2677113119.6720147</v>
      </c>
      <c r="AO30" s="14">
        <v>43162</v>
      </c>
      <c r="AR30" s="22">
        <f t="shared" si="20"/>
        <v>47</v>
      </c>
      <c r="AS30" s="13">
        <f t="shared" si="9"/>
        <v>411341845.01348209</v>
      </c>
      <c r="AT30" s="14">
        <v>43180</v>
      </c>
      <c r="AW30" s="22">
        <f t="shared" si="21"/>
        <v>66</v>
      </c>
      <c r="AX30" s="13">
        <f t="shared" si="10"/>
        <v>4691413173.7611036</v>
      </c>
      <c r="AY30" s="14">
        <v>43186</v>
      </c>
      <c r="BB30" s="22">
        <f t="shared" si="22"/>
        <v>51</v>
      </c>
      <c r="BC30" s="13">
        <f t="shared" si="11"/>
        <v>2607382037.8092952</v>
      </c>
      <c r="BD30" s="14">
        <v>43201</v>
      </c>
    </row>
    <row r="31" spans="1:56" x14ac:dyDescent="0.25">
      <c r="A31" s="15">
        <f t="shared" si="23"/>
        <v>3087977454.0951557</v>
      </c>
      <c r="B31" s="20">
        <v>43163</v>
      </c>
      <c r="D31" s="12">
        <f t="shared" si="12"/>
        <v>42</v>
      </c>
      <c r="E31" s="17">
        <f t="shared" si="0"/>
        <v>518372358.29158962</v>
      </c>
      <c r="F31" s="18">
        <v>42510</v>
      </c>
      <c r="I31" s="12">
        <f t="shared" si="13"/>
        <v>101</v>
      </c>
      <c r="J31" s="13">
        <f t="shared" si="2"/>
        <v>775593030.82282674</v>
      </c>
      <c r="K31" s="14">
        <v>42511</v>
      </c>
      <c r="N31" s="12">
        <f t="shared" si="14"/>
        <v>89</v>
      </c>
      <c r="O31" s="13">
        <f t="shared" si="3"/>
        <v>129337885.91946058</v>
      </c>
      <c r="P31" s="14">
        <v>42511</v>
      </c>
      <c r="S31" s="22">
        <f t="shared" si="15"/>
        <v>129</v>
      </c>
      <c r="T31" s="13">
        <f t="shared" si="4"/>
        <v>1301327571.4074898</v>
      </c>
      <c r="U31" s="14">
        <v>42554</v>
      </c>
      <c r="X31" s="22">
        <f t="shared" si="16"/>
        <v>42</v>
      </c>
      <c r="Y31" s="13">
        <f t="shared" si="5"/>
        <v>911859682.21298063</v>
      </c>
      <c r="Z31" s="14">
        <v>42565</v>
      </c>
      <c r="AC31" s="22">
        <f t="shared" si="17"/>
        <v>83</v>
      </c>
      <c r="AD31" s="13">
        <f t="shared" si="6"/>
        <v>521978322.54388094</v>
      </c>
      <c r="AE31" s="14">
        <v>42732</v>
      </c>
      <c r="AH31" s="22">
        <f t="shared" si="18"/>
        <v>31</v>
      </c>
      <c r="AI31" s="13">
        <f t="shared" si="7"/>
        <v>736089504.60931289</v>
      </c>
      <c r="AJ31" s="14">
        <v>42776</v>
      </c>
      <c r="AM31" s="22">
        <f t="shared" si="19"/>
        <v>89</v>
      </c>
      <c r="AN31" s="13">
        <f t="shared" si="8"/>
        <v>2677346790.7779508</v>
      </c>
      <c r="AO31" s="14">
        <v>43163</v>
      </c>
      <c r="AR31" s="22">
        <f t="shared" si="20"/>
        <v>46</v>
      </c>
      <c r="AS31" s="13">
        <f t="shared" si="9"/>
        <v>411383755.95445752</v>
      </c>
      <c r="AT31" s="14">
        <v>43181</v>
      </c>
      <c r="AW31" s="22">
        <f t="shared" si="21"/>
        <v>65</v>
      </c>
      <c r="AX31" s="13">
        <f t="shared" si="10"/>
        <v>4691802328.0145874</v>
      </c>
      <c r="AY31" s="14">
        <v>43187</v>
      </c>
      <c r="BB31" s="22">
        <f t="shared" si="22"/>
        <v>50</v>
      </c>
      <c r="BC31" s="13">
        <f t="shared" si="11"/>
        <v>2607627990.3942294</v>
      </c>
      <c r="BD31" s="14">
        <v>43202</v>
      </c>
    </row>
    <row r="32" spans="1:56" x14ac:dyDescent="0.25">
      <c r="A32" s="15">
        <f>+AN32+AS14+AX8</f>
        <v>7771121015.1331367</v>
      </c>
      <c r="B32" s="20">
        <v>43164</v>
      </c>
      <c r="D32" s="12">
        <f t="shared" si="12"/>
        <v>41</v>
      </c>
      <c r="E32" s="17">
        <f t="shared" si="0"/>
        <v>518433197.49792445</v>
      </c>
      <c r="F32" s="18">
        <v>42511</v>
      </c>
      <c r="I32" s="12">
        <f t="shared" si="13"/>
        <v>100</v>
      </c>
      <c r="J32" s="13">
        <f t="shared" si="2"/>
        <v>775682826.80951309</v>
      </c>
      <c r="K32" s="14">
        <v>42512</v>
      </c>
      <c r="N32" s="12">
        <f t="shared" si="14"/>
        <v>88</v>
      </c>
      <c r="O32" s="13">
        <f t="shared" si="3"/>
        <v>129353581.93355985</v>
      </c>
      <c r="P32" s="14">
        <v>42512</v>
      </c>
      <c r="S32" s="22">
        <f t="shared" si="15"/>
        <v>128</v>
      </c>
      <c r="T32" s="13">
        <f t="shared" si="4"/>
        <v>1301478946.1331031</v>
      </c>
      <c r="U32" s="14">
        <v>42555</v>
      </c>
      <c r="X32" s="22">
        <f t="shared" si="16"/>
        <v>41</v>
      </c>
      <c r="Y32" s="13">
        <f t="shared" si="5"/>
        <v>911959566.55844021</v>
      </c>
      <c r="Z32" s="14">
        <v>42566</v>
      </c>
      <c r="AC32" s="22">
        <f t="shared" si="17"/>
        <v>82</v>
      </c>
      <c r="AD32" s="13">
        <f t="shared" si="6"/>
        <v>522040848.85210186</v>
      </c>
      <c r="AE32" s="14">
        <v>42733</v>
      </c>
      <c r="AH32" s="22">
        <f t="shared" si="18"/>
        <v>30</v>
      </c>
      <c r="AI32" s="13">
        <f t="shared" si="7"/>
        <v>736169963.32761741</v>
      </c>
      <c r="AJ32" s="14">
        <v>42777</v>
      </c>
      <c r="AM32" s="22">
        <f t="shared" si="19"/>
        <v>88</v>
      </c>
      <c r="AN32" s="13">
        <f t="shared" si="8"/>
        <v>2677580502.6792893</v>
      </c>
      <c r="AO32" s="14">
        <v>43164</v>
      </c>
      <c r="AR32" s="22">
        <f t="shared" si="20"/>
        <v>45</v>
      </c>
      <c r="AS32" s="13">
        <f t="shared" si="9"/>
        <v>411425675.43677622</v>
      </c>
      <c r="AT32" s="14">
        <v>43182</v>
      </c>
      <c r="AW32" s="22">
        <f t="shared" si="21"/>
        <v>64</v>
      </c>
      <c r="AX32" s="13">
        <f t="shared" si="10"/>
        <v>4692191546.8343706</v>
      </c>
      <c r="AY32" s="14">
        <v>43188</v>
      </c>
      <c r="BB32" s="22">
        <f t="shared" si="22"/>
        <v>49</v>
      </c>
      <c r="BC32" s="13">
        <f t="shared" si="11"/>
        <v>2607873989.3846226</v>
      </c>
      <c r="BD32" s="14">
        <v>43203</v>
      </c>
    </row>
    <row r="33" spans="1:56" x14ac:dyDescent="0.25">
      <c r="A33" s="15">
        <f t="shared" ref="A33:A46" si="24">+AN33+AS15+AX9</f>
        <v>7771784280.3241463</v>
      </c>
      <c r="B33" s="20">
        <v>43165</v>
      </c>
      <c r="D33" s="12">
        <f t="shared" si="12"/>
        <v>40</v>
      </c>
      <c r="E33" s="17">
        <f t="shared" si="0"/>
        <v>518494050.98682445</v>
      </c>
      <c r="F33" s="18">
        <v>42512</v>
      </c>
      <c r="I33" s="12">
        <f t="shared" si="13"/>
        <v>99</v>
      </c>
      <c r="J33" s="13">
        <f t="shared" si="2"/>
        <v>775772643.5912621</v>
      </c>
      <c r="K33" s="14">
        <v>42513</v>
      </c>
      <c r="N33" s="12">
        <f t="shared" si="14"/>
        <v>87</v>
      </c>
      <c r="O33" s="13">
        <f t="shared" si="3"/>
        <v>129369281.75775325</v>
      </c>
      <c r="P33" s="14">
        <v>42513</v>
      </c>
      <c r="S33" s="22">
        <f t="shared" si="15"/>
        <v>127</v>
      </c>
      <c r="T33" s="13">
        <f t="shared" si="4"/>
        <v>1301630356.0796304</v>
      </c>
      <c r="U33" s="14">
        <v>42556</v>
      </c>
      <c r="X33" s="22">
        <f t="shared" si="16"/>
        <v>40</v>
      </c>
      <c r="Y33" s="13">
        <f t="shared" si="5"/>
        <v>912059472.78879213</v>
      </c>
      <c r="Z33" s="14">
        <v>42567</v>
      </c>
      <c r="AC33" s="22">
        <f t="shared" si="17"/>
        <v>81</v>
      </c>
      <c r="AD33" s="13">
        <f t="shared" si="6"/>
        <v>522103390.14181697</v>
      </c>
      <c r="AE33" s="14">
        <v>42734</v>
      </c>
      <c r="AH33" s="22">
        <f t="shared" si="18"/>
        <v>29</v>
      </c>
      <c r="AI33" s="13">
        <f t="shared" si="7"/>
        <v>736250439.63702452</v>
      </c>
      <c r="AJ33" s="14">
        <v>42778</v>
      </c>
      <c r="AM33" s="22">
        <f t="shared" si="19"/>
        <v>87</v>
      </c>
      <c r="AN33" s="13">
        <f t="shared" si="8"/>
        <v>2677814255.3867126</v>
      </c>
      <c r="AO33" s="14">
        <v>43165</v>
      </c>
      <c r="AR33" s="22">
        <f t="shared" si="20"/>
        <v>44</v>
      </c>
      <c r="AS33" s="13">
        <f t="shared" si="9"/>
        <v>411467603.46304959</v>
      </c>
      <c r="AT33" s="14">
        <v>43183</v>
      </c>
      <c r="AW33" s="22">
        <f t="shared" si="21"/>
        <v>63</v>
      </c>
      <c r="AX33" s="13">
        <f t="shared" si="10"/>
        <v>4692580830.2365255</v>
      </c>
      <c r="AY33" s="14">
        <v>43189</v>
      </c>
      <c r="BB33" s="22">
        <f t="shared" si="22"/>
        <v>48</v>
      </c>
      <c r="BC33" s="13">
        <f t="shared" si="11"/>
        <v>2608120034.7936106</v>
      </c>
      <c r="BD33" s="14">
        <v>43204</v>
      </c>
    </row>
    <row r="34" spans="1:56" x14ac:dyDescent="0.25">
      <c r="A34" s="15">
        <f t="shared" si="24"/>
        <v>7772447659.045742</v>
      </c>
      <c r="B34" s="20">
        <v>43166</v>
      </c>
      <c r="D34" s="12">
        <f t="shared" si="12"/>
        <v>39</v>
      </c>
      <c r="E34" s="17">
        <f t="shared" si="0"/>
        <v>518554918.76331955</v>
      </c>
      <c r="F34" s="18">
        <v>42513</v>
      </c>
      <c r="I34" s="12">
        <f t="shared" si="13"/>
        <v>98</v>
      </c>
      <c r="J34" s="13">
        <f t="shared" si="2"/>
        <v>775862481.17529857</v>
      </c>
      <c r="K34" s="14">
        <v>42514</v>
      </c>
      <c r="N34" s="12">
        <f t="shared" si="14"/>
        <v>86</v>
      </c>
      <c r="O34" s="13">
        <f t="shared" si="3"/>
        <v>129384985.39342825</v>
      </c>
      <c r="P34" s="14">
        <v>42514</v>
      </c>
      <c r="S34" s="22">
        <f t="shared" si="15"/>
        <v>126</v>
      </c>
      <c r="T34" s="13">
        <f t="shared" si="4"/>
        <v>1301781801.259366</v>
      </c>
      <c r="U34" s="14">
        <v>42557</v>
      </c>
      <c r="X34" s="22">
        <f t="shared" si="16"/>
        <v>39</v>
      </c>
      <c r="Y34" s="13">
        <f t="shared" si="5"/>
        <v>912159400.91122937</v>
      </c>
      <c r="Z34" s="14">
        <v>42568</v>
      </c>
      <c r="AC34" s="22">
        <f t="shared" si="17"/>
        <v>80</v>
      </c>
      <c r="AD34" s="13">
        <f t="shared" si="6"/>
        <v>522165946.41841125</v>
      </c>
      <c r="AE34" s="14">
        <v>42735</v>
      </c>
      <c r="AH34" s="22">
        <f t="shared" si="18"/>
        <v>28</v>
      </c>
      <c r="AI34" s="13">
        <f t="shared" si="7"/>
        <v>736330933.5433042</v>
      </c>
      <c r="AJ34" s="14">
        <v>42779</v>
      </c>
      <c r="AM34" s="22">
        <f t="shared" si="19"/>
        <v>86</v>
      </c>
      <c r="AN34" s="13">
        <f t="shared" si="8"/>
        <v>2678048048.9109101</v>
      </c>
      <c r="AO34" s="14">
        <v>43166</v>
      </c>
      <c r="AR34" s="22">
        <f t="shared" si="20"/>
        <v>43</v>
      </c>
      <c r="AS34" s="13">
        <f t="shared" si="9"/>
        <v>411509540.03589004</v>
      </c>
      <c r="AT34" s="14">
        <v>43184</v>
      </c>
      <c r="AW34" s="22">
        <f t="shared" si="21"/>
        <v>62</v>
      </c>
      <c r="AX34" s="13">
        <f t="shared" si="10"/>
        <v>4692970178.2371264</v>
      </c>
      <c r="AY34" s="14">
        <v>43190</v>
      </c>
      <c r="BB34" s="22">
        <f t="shared" si="22"/>
        <v>47</v>
      </c>
      <c r="BC34" s="13">
        <f t="shared" si="11"/>
        <v>2608366126.6343327</v>
      </c>
      <c r="BD34" s="14">
        <v>43205</v>
      </c>
    </row>
    <row r="35" spans="1:56" x14ac:dyDescent="0.25">
      <c r="A35" s="15">
        <f t="shared" si="24"/>
        <v>7773111151.3271608</v>
      </c>
      <c r="B35" s="20">
        <v>43167</v>
      </c>
      <c r="D35" s="12">
        <f t="shared" si="12"/>
        <v>38</v>
      </c>
      <c r="E35" s="17">
        <f t="shared" si="0"/>
        <v>518615800.8324424</v>
      </c>
      <c r="F35" s="18">
        <v>42514</v>
      </c>
      <c r="I35" s="12">
        <f t="shared" si="13"/>
        <v>97</v>
      </c>
      <c r="J35" s="13">
        <f t="shared" si="2"/>
        <v>775952339.56884992</v>
      </c>
      <c r="K35" s="14">
        <v>42515</v>
      </c>
      <c r="N35" s="12">
        <f t="shared" si="14"/>
        <v>85</v>
      </c>
      <c r="O35" s="13">
        <f t="shared" si="3"/>
        <v>129400692.84197304</v>
      </c>
      <c r="P35" s="14">
        <v>42515</v>
      </c>
      <c r="S35" s="22">
        <f t="shared" si="15"/>
        <v>125</v>
      </c>
      <c r="T35" s="13">
        <f t="shared" si="4"/>
        <v>1301933281.6846087</v>
      </c>
      <c r="U35" s="14">
        <v>42558</v>
      </c>
      <c r="X35" s="22">
        <f t="shared" si="16"/>
        <v>38</v>
      </c>
      <c r="Y35" s="13">
        <f t="shared" si="5"/>
        <v>912259350.93294883</v>
      </c>
      <c r="Z35" s="14">
        <v>42569</v>
      </c>
      <c r="AC35" s="22">
        <f t="shared" si="17"/>
        <v>79</v>
      </c>
      <c r="AD35" s="13">
        <f t="shared" si="6"/>
        <v>522228517.68727237</v>
      </c>
      <c r="AE35" s="14">
        <v>42736</v>
      </c>
      <c r="AH35" s="22">
        <f t="shared" si="18"/>
        <v>27</v>
      </c>
      <c r="AI35" s="13">
        <f t="shared" si="7"/>
        <v>736411445.05222821</v>
      </c>
      <c r="AJ35" s="14">
        <v>42780</v>
      </c>
      <c r="AM35" s="22">
        <f t="shared" si="19"/>
        <v>85</v>
      </c>
      <c r="AN35" s="13">
        <f t="shared" si="8"/>
        <v>2678281883.2625728</v>
      </c>
      <c r="AO35" s="14">
        <v>43167</v>
      </c>
      <c r="AR35" s="22">
        <f t="shared" si="20"/>
        <v>42</v>
      </c>
      <c r="AS35" s="13">
        <f t="shared" si="9"/>
        <v>411551485.15791088</v>
      </c>
      <c r="AT35" s="14">
        <v>43185</v>
      </c>
      <c r="AW35" s="22">
        <f t="shared" si="21"/>
        <v>61</v>
      </c>
      <c r="AX35" s="13">
        <f t="shared" si="10"/>
        <v>4693359590.852252</v>
      </c>
      <c r="AY35" s="14">
        <v>43191</v>
      </c>
      <c r="BB35" s="22">
        <f t="shared" si="22"/>
        <v>46</v>
      </c>
      <c r="BC35" s="13">
        <f t="shared" si="11"/>
        <v>2608612264.9199324</v>
      </c>
      <c r="BD35" s="14">
        <v>43206</v>
      </c>
    </row>
    <row r="36" spans="1:56" x14ac:dyDescent="0.25">
      <c r="A36" s="15">
        <f t="shared" si="24"/>
        <v>7773774757.1976528</v>
      </c>
      <c r="B36" s="20">
        <v>43168</v>
      </c>
      <c r="D36" s="12">
        <f t="shared" si="12"/>
        <v>37</v>
      </c>
      <c r="E36" s="17">
        <f t="shared" si="0"/>
        <v>518676697.19922751</v>
      </c>
      <c r="F36" s="18">
        <v>42515</v>
      </c>
      <c r="I36" s="12">
        <f t="shared" si="13"/>
        <v>96</v>
      </c>
      <c r="J36" s="13">
        <f t="shared" si="2"/>
        <v>776042218.77914739</v>
      </c>
      <c r="K36" s="14">
        <v>42516</v>
      </c>
      <c r="N36" s="12">
        <f t="shared" si="14"/>
        <v>84</v>
      </c>
      <c r="O36" s="13">
        <f t="shared" si="3"/>
        <v>129416404.10477637</v>
      </c>
      <c r="P36" s="14">
        <v>42516</v>
      </c>
      <c r="S36" s="22">
        <f t="shared" si="15"/>
        <v>124</v>
      </c>
      <c r="T36" s="13">
        <f t="shared" si="4"/>
        <v>1302084797.3676651</v>
      </c>
      <c r="U36" s="14">
        <v>42559</v>
      </c>
      <c r="X36" s="22">
        <f t="shared" si="16"/>
        <v>37</v>
      </c>
      <c r="Y36" s="13">
        <f t="shared" si="5"/>
        <v>912359322.86115003</v>
      </c>
      <c r="Z36" s="14">
        <v>42570</v>
      </c>
      <c r="AC36" s="22">
        <f t="shared" si="17"/>
        <v>78</v>
      </c>
      <c r="AD36" s="13">
        <f t="shared" si="6"/>
        <v>522291103.95379055</v>
      </c>
      <c r="AE36" s="14">
        <v>42737</v>
      </c>
      <c r="AH36" s="22">
        <f t="shared" si="18"/>
        <v>26</v>
      </c>
      <c r="AI36" s="13">
        <f t="shared" si="7"/>
        <v>736491974.16957164</v>
      </c>
      <c r="AJ36" s="14">
        <v>42781</v>
      </c>
      <c r="AM36" s="22">
        <f t="shared" si="19"/>
        <v>84</v>
      </c>
      <c r="AN36" s="13">
        <f t="shared" si="8"/>
        <v>2678515758.4523969</v>
      </c>
      <c r="AO36" s="14">
        <v>43168</v>
      </c>
      <c r="AR36" s="22">
        <f t="shared" si="20"/>
        <v>41</v>
      </c>
      <c r="AS36" s="13">
        <f t="shared" si="9"/>
        <v>411593438.83172685</v>
      </c>
      <c r="AT36" s="14">
        <v>43186</v>
      </c>
      <c r="AW36" s="22">
        <f t="shared" si="21"/>
        <v>60</v>
      </c>
      <c r="AX36" s="13">
        <f t="shared" si="10"/>
        <v>4693749068.0979919</v>
      </c>
      <c r="AY36" s="14">
        <v>43192</v>
      </c>
      <c r="BB36" s="22">
        <f t="shared" si="22"/>
        <v>45</v>
      </c>
      <c r="BC36" s="13">
        <f t="shared" si="11"/>
        <v>2608858449.6635604</v>
      </c>
      <c r="BD36" s="14">
        <v>43207</v>
      </c>
    </row>
    <row r="37" spans="1:56" x14ac:dyDescent="0.25">
      <c r="A37" s="15">
        <f t="shared" si="24"/>
        <v>7774438476.6864758</v>
      </c>
      <c r="B37" s="20">
        <v>43169</v>
      </c>
      <c r="D37" s="12">
        <f t="shared" si="12"/>
        <v>36</v>
      </c>
      <c r="E37" s="17">
        <f t="shared" si="0"/>
        <v>518737607.86871219</v>
      </c>
      <c r="F37" s="18">
        <v>42516</v>
      </c>
      <c r="I37" s="12">
        <f t="shared" si="13"/>
        <v>95</v>
      </c>
      <c r="J37" s="13">
        <f t="shared" si="2"/>
        <v>776132118.81342566</v>
      </c>
      <c r="K37" s="14">
        <v>42517</v>
      </c>
      <c r="N37" s="12">
        <f t="shared" si="14"/>
        <v>83</v>
      </c>
      <c r="O37" s="13">
        <f t="shared" si="3"/>
        <v>129432119.18322782</v>
      </c>
      <c r="P37" s="14">
        <v>42517</v>
      </c>
      <c r="S37" s="22">
        <f t="shared" si="15"/>
        <v>123</v>
      </c>
      <c r="T37" s="13">
        <f t="shared" si="4"/>
        <v>1302236348.3208451</v>
      </c>
      <c r="U37" s="14">
        <v>42560</v>
      </c>
      <c r="X37" s="22">
        <f t="shared" si="16"/>
        <v>36</v>
      </c>
      <c r="Y37" s="13">
        <f t="shared" si="5"/>
        <v>912459316.70303571</v>
      </c>
      <c r="Z37" s="14">
        <v>42571</v>
      </c>
      <c r="AC37" s="22">
        <f t="shared" si="17"/>
        <v>77</v>
      </c>
      <c r="AD37" s="13">
        <f t="shared" si="6"/>
        <v>522353705.22335857</v>
      </c>
      <c r="AE37" s="14">
        <v>42738</v>
      </c>
      <c r="AH37" s="22">
        <f t="shared" si="18"/>
        <v>25</v>
      </c>
      <c r="AI37" s="13">
        <f t="shared" si="7"/>
        <v>736572520.90111172</v>
      </c>
      <c r="AJ37" s="14">
        <v>42782</v>
      </c>
      <c r="AM37" s="22">
        <f t="shared" si="19"/>
        <v>83</v>
      </c>
      <c r="AN37" s="13">
        <f t="shared" si="8"/>
        <v>2678749674.4910803</v>
      </c>
      <c r="AO37" s="14">
        <v>43169</v>
      </c>
      <c r="AR37" s="22">
        <f t="shared" si="20"/>
        <v>40</v>
      </c>
      <c r="AS37" s="13">
        <f t="shared" si="9"/>
        <v>411635401.05995327</v>
      </c>
      <c r="AT37" s="14">
        <v>43187</v>
      </c>
      <c r="AW37" s="22">
        <f t="shared" si="21"/>
        <v>59</v>
      </c>
      <c r="AX37" s="13">
        <f t="shared" si="10"/>
        <v>4694138609.9904356</v>
      </c>
      <c r="AY37" s="14">
        <v>43193</v>
      </c>
      <c r="BB37" s="22">
        <f t="shared" si="22"/>
        <v>44</v>
      </c>
      <c r="BC37" s="13">
        <f t="shared" si="11"/>
        <v>2609104680.8783703</v>
      </c>
      <c r="BD37" s="14">
        <v>43208</v>
      </c>
    </row>
    <row r="38" spans="1:56" x14ac:dyDescent="0.25">
      <c r="A38" s="15">
        <f t="shared" si="24"/>
        <v>7775102309.8229046</v>
      </c>
      <c r="B38" s="20">
        <v>43170</v>
      </c>
      <c r="D38" s="12">
        <f t="shared" si="12"/>
        <v>35</v>
      </c>
      <c r="E38" s="17">
        <f t="shared" si="0"/>
        <v>518798532.84593582</v>
      </c>
      <c r="F38" s="18">
        <v>42517</v>
      </c>
      <c r="I38" s="12">
        <f t="shared" si="13"/>
        <v>94</v>
      </c>
      <c r="J38" s="13">
        <f t="shared" si="2"/>
        <v>776222039.67892253</v>
      </c>
      <c r="K38" s="14">
        <v>42518</v>
      </c>
      <c r="N38" s="12">
        <f t="shared" si="14"/>
        <v>82</v>
      </c>
      <c r="O38" s="13">
        <f t="shared" si="3"/>
        <v>129447838.07871753</v>
      </c>
      <c r="P38" s="14">
        <v>42518</v>
      </c>
      <c r="S38" s="22">
        <f t="shared" si="15"/>
        <v>122</v>
      </c>
      <c r="T38" s="13">
        <f t="shared" si="4"/>
        <v>1302387934.5564663</v>
      </c>
      <c r="U38" s="14">
        <v>42561</v>
      </c>
      <c r="X38" s="22">
        <f t="shared" si="16"/>
        <v>35</v>
      </c>
      <c r="Y38" s="13">
        <f t="shared" si="5"/>
        <v>912559332.46581173</v>
      </c>
      <c r="Z38" s="14">
        <v>42572</v>
      </c>
      <c r="AC38" s="22">
        <f t="shared" si="17"/>
        <v>76</v>
      </c>
      <c r="AD38" s="13">
        <f t="shared" si="6"/>
        <v>522416321.50137192</v>
      </c>
      <c r="AE38" s="14">
        <v>42739</v>
      </c>
      <c r="AH38" s="22">
        <f t="shared" si="18"/>
        <v>24</v>
      </c>
      <c r="AI38" s="13">
        <f t="shared" si="7"/>
        <v>736653085.25262785</v>
      </c>
      <c r="AJ38" s="14">
        <v>42783</v>
      </c>
      <c r="AM38" s="22">
        <f t="shared" si="19"/>
        <v>82</v>
      </c>
      <c r="AN38" s="13">
        <f t="shared" si="8"/>
        <v>2678983631.389328</v>
      </c>
      <c r="AO38" s="14">
        <v>43170</v>
      </c>
      <c r="AR38" s="22">
        <f t="shared" si="20"/>
        <v>39</v>
      </c>
      <c r="AS38" s="13">
        <f t="shared" si="9"/>
        <v>411677371.84520704</v>
      </c>
      <c r="AT38" s="14">
        <v>43188</v>
      </c>
      <c r="AW38" s="22">
        <f t="shared" si="21"/>
        <v>58</v>
      </c>
      <c r="AX38" s="13">
        <f t="shared" si="10"/>
        <v>4694528216.5456791</v>
      </c>
      <c r="AY38" s="14">
        <v>43194</v>
      </c>
      <c r="BB38" s="22">
        <f t="shared" si="22"/>
        <v>43</v>
      </c>
      <c r="BC38" s="13">
        <f t="shared" si="11"/>
        <v>2609350958.5775228</v>
      </c>
      <c r="BD38" s="14">
        <v>43209</v>
      </c>
    </row>
    <row r="39" spans="1:56" x14ac:dyDescent="0.25">
      <c r="A39" s="15">
        <f t="shared" si="24"/>
        <v>7775766256.6362123</v>
      </c>
      <c r="B39" s="20">
        <v>43171</v>
      </c>
      <c r="D39" s="12">
        <f t="shared" si="12"/>
        <v>34</v>
      </c>
      <c r="E39" s="17">
        <f t="shared" si="0"/>
        <v>518859472.13594037</v>
      </c>
      <c r="F39" s="18">
        <v>42518</v>
      </c>
      <c r="I39" s="12">
        <f t="shared" si="13"/>
        <v>93</v>
      </c>
      <c r="J39" s="13">
        <f t="shared" si="2"/>
        <v>776311981.3828789</v>
      </c>
      <c r="K39" s="14">
        <v>42519</v>
      </c>
      <c r="N39" s="12">
        <f t="shared" si="14"/>
        <v>81</v>
      </c>
      <c r="O39" s="13">
        <f t="shared" si="3"/>
        <v>129463560.79263636</v>
      </c>
      <c r="P39" s="14">
        <v>42519</v>
      </c>
      <c r="S39" s="22">
        <f t="shared" si="15"/>
        <v>121</v>
      </c>
      <c r="T39" s="13">
        <f t="shared" si="4"/>
        <v>1302539556.0868506</v>
      </c>
      <c r="U39" s="14">
        <v>42562</v>
      </c>
      <c r="X39" s="22">
        <f t="shared" si="16"/>
        <v>34</v>
      </c>
      <c r="Y39" s="13">
        <f t="shared" si="5"/>
        <v>912659370.15668762</v>
      </c>
      <c r="Z39" s="14">
        <v>42573</v>
      </c>
      <c r="AC39" s="22">
        <f t="shared" si="17"/>
        <v>75</v>
      </c>
      <c r="AD39" s="13">
        <f t="shared" si="6"/>
        <v>522478952.79322851</v>
      </c>
      <c r="AE39" s="14">
        <v>42740</v>
      </c>
      <c r="AH39" s="22">
        <f t="shared" si="18"/>
        <v>23</v>
      </c>
      <c r="AI39" s="13">
        <f t="shared" si="7"/>
        <v>736733667.22990286</v>
      </c>
      <c r="AJ39" s="14">
        <v>42784</v>
      </c>
      <c r="AM39" s="22">
        <f t="shared" si="19"/>
        <v>81</v>
      </c>
      <c r="AN39" s="13">
        <f t="shared" si="8"/>
        <v>2679217629.157845</v>
      </c>
      <c r="AO39" s="14">
        <v>43171</v>
      </c>
      <c r="AR39" s="22">
        <f t="shared" si="20"/>
        <v>38</v>
      </c>
      <c r="AS39" s="13">
        <f t="shared" si="9"/>
        <v>411719351.19010574</v>
      </c>
      <c r="AT39" s="14">
        <v>43189</v>
      </c>
      <c r="AW39" s="22">
        <f t="shared" si="21"/>
        <v>57</v>
      </c>
      <c r="AX39" s="13">
        <f t="shared" si="10"/>
        <v>4694917887.7798262</v>
      </c>
      <c r="AY39" s="14">
        <v>43195</v>
      </c>
      <c r="BB39" s="22">
        <f t="shared" si="22"/>
        <v>42</v>
      </c>
      <c r="BC39" s="13">
        <f t="shared" si="11"/>
        <v>2609597282.7741814</v>
      </c>
      <c r="BD39" s="14">
        <v>43210</v>
      </c>
    </row>
    <row r="40" spans="1:56" x14ac:dyDescent="0.25">
      <c r="A40" s="15">
        <f t="shared" si="24"/>
        <v>7776430317.155695</v>
      </c>
      <c r="B40" s="20">
        <v>43172</v>
      </c>
      <c r="D40" s="12">
        <f t="shared" si="12"/>
        <v>33</v>
      </c>
      <c r="E40" s="17">
        <f t="shared" si="0"/>
        <v>518920425.74377006</v>
      </c>
      <c r="F40" s="18">
        <v>42519</v>
      </c>
      <c r="I40" s="12">
        <f t="shared" si="13"/>
        <v>92</v>
      </c>
      <c r="J40" s="13">
        <f t="shared" si="2"/>
        <v>776401943.9325397</v>
      </c>
      <c r="K40" s="14">
        <v>42520</v>
      </c>
      <c r="N40" s="12">
        <f t="shared" si="14"/>
        <v>80</v>
      </c>
      <c r="O40" s="13">
        <f t="shared" si="3"/>
        <v>129479287.32637584</v>
      </c>
      <c r="P40" s="14">
        <v>42520</v>
      </c>
      <c r="S40" s="22">
        <f t="shared" si="15"/>
        <v>120</v>
      </c>
      <c r="T40" s="13">
        <f t="shared" si="4"/>
        <v>1302691212.9243269</v>
      </c>
      <c r="U40" s="14">
        <v>42563</v>
      </c>
      <c r="X40" s="22">
        <f t="shared" si="16"/>
        <v>33</v>
      </c>
      <c r="Y40" s="13">
        <f t="shared" si="5"/>
        <v>912759429.78287518</v>
      </c>
      <c r="Z40" s="14">
        <v>42574</v>
      </c>
      <c r="AC40" s="22">
        <f t="shared" si="17"/>
        <v>74</v>
      </c>
      <c r="AD40" s="13">
        <f t="shared" si="6"/>
        <v>522541599.10432893</v>
      </c>
      <c r="AE40" s="14">
        <v>42741</v>
      </c>
      <c r="AH40" s="22">
        <f t="shared" si="18"/>
        <v>22</v>
      </c>
      <c r="AI40" s="13">
        <f t="shared" si="7"/>
        <v>736814266.83872128</v>
      </c>
      <c r="AJ40" s="14">
        <v>42785</v>
      </c>
      <c r="AM40" s="22">
        <f t="shared" si="19"/>
        <v>80</v>
      </c>
      <c r="AN40" s="13">
        <f t="shared" si="8"/>
        <v>2679451667.807343</v>
      </c>
      <c r="AO40" s="14">
        <v>43172</v>
      </c>
      <c r="AR40" s="22">
        <f t="shared" si="20"/>
        <v>37</v>
      </c>
      <c r="AS40" s="13">
        <f t="shared" si="9"/>
        <v>411761339.0972681</v>
      </c>
      <c r="AT40" s="14">
        <v>43190</v>
      </c>
      <c r="AW40" s="22">
        <f t="shared" si="21"/>
        <v>56</v>
      </c>
      <c r="AX40" s="13">
        <f t="shared" si="10"/>
        <v>4695307623.7089844</v>
      </c>
      <c r="AY40" s="14">
        <v>43196</v>
      </c>
      <c r="BB40" s="22">
        <f t="shared" si="22"/>
        <v>41</v>
      </c>
      <c r="BC40" s="13">
        <f t="shared" si="11"/>
        <v>2609843653.4815159</v>
      </c>
      <c r="BD40" s="14">
        <v>43211</v>
      </c>
    </row>
    <row r="41" spans="1:56" x14ac:dyDescent="0.25">
      <c r="A41" s="15">
        <f t="shared" si="24"/>
        <v>7777094491.4106474</v>
      </c>
      <c r="B41" s="20">
        <v>43173</v>
      </c>
      <c r="D41" s="12">
        <f t="shared" si="12"/>
        <v>32</v>
      </c>
      <c r="E41" s="17">
        <f t="shared" si="0"/>
        <v>518981393.67447132</v>
      </c>
      <c r="F41" s="18">
        <v>42520</v>
      </c>
      <c r="I41" s="12">
        <f t="shared" si="13"/>
        <v>91</v>
      </c>
      <c r="J41" s="13">
        <f t="shared" si="2"/>
        <v>776491927.33515286</v>
      </c>
      <c r="K41" s="14">
        <v>42521</v>
      </c>
      <c r="N41" s="12">
        <f t="shared" si="14"/>
        <v>79</v>
      </c>
      <c r="O41" s="13">
        <f t="shared" si="3"/>
        <v>129495017.68132812</v>
      </c>
      <c r="P41" s="14">
        <v>42521</v>
      </c>
      <c r="S41" s="22">
        <f t="shared" si="15"/>
        <v>119</v>
      </c>
      <c r="T41" s="13">
        <f t="shared" si="4"/>
        <v>1302842905.081229</v>
      </c>
      <c r="U41" s="14">
        <v>42564</v>
      </c>
      <c r="X41" s="22">
        <f t="shared" si="16"/>
        <v>32</v>
      </c>
      <c r="Y41" s="13">
        <f t="shared" si="5"/>
        <v>912859511.35159004</v>
      </c>
      <c r="Z41" s="14">
        <v>42575</v>
      </c>
      <c r="AC41" s="22">
        <f t="shared" si="17"/>
        <v>73</v>
      </c>
      <c r="AD41" s="13">
        <f t="shared" si="6"/>
        <v>522604260.44007623</v>
      </c>
      <c r="AE41" s="14">
        <v>42742</v>
      </c>
      <c r="AH41" s="22">
        <f t="shared" si="18"/>
        <v>21</v>
      </c>
      <c r="AI41" s="13">
        <f t="shared" si="7"/>
        <v>736894884.08487058</v>
      </c>
      <c r="AJ41" s="14">
        <v>42786</v>
      </c>
      <c r="AM41" s="22">
        <f t="shared" si="19"/>
        <v>79</v>
      </c>
      <c r="AN41" s="13">
        <f t="shared" si="8"/>
        <v>2679685747.3485351</v>
      </c>
      <c r="AO41" s="14">
        <v>43173</v>
      </c>
      <c r="AR41" s="22">
        <f t="shared" si="20"/>
        <v>36</v>
      </c>
      <c r="AS41" s="13">
        <f t="shared" si="9"/>
        <v>411803335.56931418</v>
      </c>
      <c r="AT41" s="14">
        <v>43191</v>
      </c>
      <c r="AW41" s="22">
        <f t="shared" si="21"/>
        <v>55</v>
      </c>
      <c r="AX41" s="13">
        <f t="shared" si="10"/>
        <v>4695697424.3492651</v>
      </c>
      <c r="AY41" s="14">
        <v>43197</v>
      </c>
      <c r="BB41" s="22">
        <f t="shared" si="22"/>
        <v>40</v>
      </c>
      <c r="BC41" s="13">
        <f t="shared" si="11"/>
        <v>2610090070.7127004</v>
      </c>
      <c r="BD41" s="14">
        <v>43212</v>
      </c>
    </row>
    <row r="42" spans="1:56" x14ac:dyDescent="0.25">
      <c r="A42" s="15">
        <f t="shared" si="24"/>
        <v>7777758779.4303827</v>
      </c>
      <c r="B42" s="20">
        <v>43174</v>
      </c>
      <c r="D42" s="12">
        <f t="shared" si="12"/>
        <v>31</v>
      </c>
      <c r="E42" s="17">
        <f t="shared" si="0"/>
        <v>519042375.93309331</v>
      </c>
      <c r="F42" s="18">
        <v>42521</v>
      </c>
      <c r="I42" s="12">
        <f t="shared" si="13"/>
        <v>90</v>
      </c>
      <c r="J42" s="13">
        <f t="shared" si="2"/>
        <v>776581931.59796929</v>
      </c>
      <c r="K42" s="14">
        <v>42522</v>
      </c>
      <c r="N42" s="12">
        <f t="shared" si="14"/>
        <v>78</v>
      </c>
      <c r="O42" s="13">
        <f t="shared" si="3"/>
        <v>129510751.85888617</v>
      </c>
      <c r="P42" s="14">
        <v>42522</v>
      </c>
      <c r="S42" s="22">
        <f t="shared" si="15"/>
        <v>118</v>
      </c>
      <c r="T42" s="13">
        <f t="shared" si="4"/>
        <v>1302994632.5698967</v>
      </c>
      <c r="U42" s="14">
        <v>42565</v>
      </c>
      <c r="X42" s="22">
        <f t="shared" si="16"/>
        <v>31</v>
      </c>
      <c r="Y42" s="13">
        <f t="shared" si="5"/>
        <v>912959614.87005091</v>
      </c>
      <c r="Z42" s="14">
        <v>42576</v>
      </c>
      <c r="AC42" s="22">
        <f t="shared" si="17"/>
        <v>72</v>
      </c>
      <c r="AD42" s="13">
        <f t="shared" si="6"/>
        <v>522666936.80587643</v>
      </c>
      <c r="AE42" s="14">
        <v>42743</v>
      </c>
      <c r="AH42" s="22">
        <f t="shared" si="18"/>
        <v>20</v>
      </c>
      <c r="AI42" s="13">
        <f t="shared" si="7"/>
        <v>736975518.97414076</v>
      </c>
      <c r="AJ42" s="14">
        <v>42787</v>
      </c>
      <c r="AM42" s="22">
        <f t="shared" si="19"/>
        <v>78</v>
      </c>
      <c r="AN42" s="13">
        <f t="shared" si="8"/>
        <v>2679919867.7921405</v>
      </c>
      <c r="AO42" s="14">
        <v>43174</v>
      </c>
      <c r="AR42" s="22">
        <f t="shared" si="20"/>
        <v>35</v>
      </c>
      <c r="AS42" s="13">
        <f t="shared" si="9"/>
        <v>411845340.60886472</v>
      </c>
      <c r="AT42" s="14">
        <v>43192</v>
      </c>
      <c r="AW42" s="22">
        <f t="shared" si="21"/>
        <v>54</v>
      </c>
      <c r="AX42" s="13">
        <f t="shared" si="10"/>
        <v>4696087289.7167854</v>
      </c>
      <c r="AY42" s="14">
        <v>43198</v>
      </c>
      <c r="BB42" s="22">
        <f t="shared" si="22"/>
        <v>39</v>
      </c>
      <c r="BC42" s="13">
        <f t="shared" si="11"/>
        <v>2610336534.4809146</v>
      </c>
      <c r="BD42" s="14">
        <v>43213</v>
      </c>
    </row>
    <row r="43" spans="1:56" x14ac:dyDescent="0.25">
      <c r="A43" s="15">
        <f t="shared" si="24"/>
        <v>7778423181.2442207</v>
      </c>
      <c r="B43" s="20">
        <v>43175</v>
      </c>
      <c r="D43" s="12">
        <f t="shared" si="12"/>
        <v>30</v>
      </c>
      <c r="E43" s="17">
        <f t="shared" si="0"/>
        <v>519103372.52468723</v>
      </c>
      <c r="F43" s="18">
        <v>42522</v>
      </c>
      <c r="I43" s="12">
        <f t="shared" si="13"/>
        <v>89</v>
      </c>
      <c r="J43" s="13">
        <f t="shared" si="2"/>
        <v>776671956.72824419</v>
      </c>
      <c r="K43" s="14">
        <v>42523</v>
      </c>
      <c r="N43" s="12">
        <f t="shared" si="14"/>
        <v>77</v>
      </c>
      <c r="O43" s="13">
        <f t="shared" si="3"/>
        <v>129526489.86044349</v>
      </c>
      <c r="P43" s="14">
        <v>42523</v>
      </c>
      <c r="S43" s="22">
        <f t="shared" si="15"/>
        <v>117</v>
      </c>
      <c r="T43" s="13">
        <f t="shared" si="4"/>
        <v>1303146395.4026749</v>
      </c>
      <c r="U43" s="14">
        <v>42566</v>
      </c>
      <c r="X43" s="22">
        <f t="shared" si="16"/>
        <v>30</v>
      </c>
      <c r="Y43" s="13">
        <f t="shared" si="5"/>
        <v>913059740.34547937</v>
      </c>
      <c r="Z43" s="14">
        <v>42577</v>
      </c>
      <c r="AC43" s="22">
        <f t="shared" si="17"/>
        <v>71</v>
      </c>
      <c r="AD43" s="13">
        <f t="shared" si="6"/>
        <v>522729628.2071377</v>
      </c>
      <c r="AE43" s="14">
        <v>42744</v>
      </c>
      <c r="AH43" s="22">
        <f t="shared" si="18"/>
        <v>19</v>
      </c>
      <c r="AI43" s="13">
        <f t="shared" si="7"/>
        <v>737056171.51232386</v>
      </c>
      <c r="AJ43" s="14">
        <v>42788</v>
      </c>
      <c r="AM43" s="22">
        <f t="shared" si="19"/>
        <v>77</v>
      </c>
      <c r="AN43" s="13">
        <f t="shared" si="8"/>
        <v>2680154029.1488791</v>
      </c>
      <c r="AO43" s="14">
        <v>43175</v>
      </c>
      <c r="AR43" s="22">
        <f t="shared" si="20"/>
        <v>34</v>
      </c>
      <c r="AS43" s="13">
        <f t="shared" si="9"/>
        <v>411887354.21854174</v>
      </c>
      <c r="AT43" s="14">
        <v>43193</v>
      </c>
      <c r="AW43" s="22">
        <f t="shared" si="21"/>
        <v>53</v>
      </c>
      <c r="AX43" s="13">
        <f t="shared" si="10"/>
        <v>4696477219.827672</v>
      </c>
      <c r="AY43" s="14">
        <v>43199</v>
      </c>
      <c r="BB43" s="22">
        <f t="shared" si="22"/>
        <v>38</v>
      </c>
      <c r="BC43" s="13">
        <f t="shared" si="11"/>
        <v>2610583044.7993422</v>
      </c>
      <c r="BD43" s="14">
        <v>43214</v>
      </c>
    </row>
    <row r="44" spans="1:56" x14ac:dyDescent="0.25">
      <c r="A44" s="15">
        <f t="shared" si="24"/>
        <v>7779087696.8814907</v>
      </c>
      <c r="B44" s="20">
        <v>43176</v>
      </c>
      <c r="D44" s="12">
        <f t="shared" si="12"/>
        <v>29</v>
      </c>
      <c r="E44" s="17">
        <f t="shared" si="0"/>
        <v>519164383.45430702</v>
      </c>
      <c r="F44" s="18">
        <v>42523</v>
      </c>
      <c r="I44" s="12">
        <f t="shared" si="13"/>
        <v>88</v>
      </c>
      <c r="J44" s="13">
        <f t="shared" si="2"/>
        <v>776762002.73323512</v>
      </c>
      <c r="K44" s="14">
        <v>42524</v>
      </c>
      <c r="N44" s="12">
        <f t="shared" si="14"/>
        <v>76</v>
      </c>
      <c r="O44" s="13">
        <f t="shared" si="3"/>
        <v>129542231.68739432</v>
      </c>
      <c r="P44" s="14">
        <v>42524</v>
      </c>
      <c r="S44" s="22">
        <f t="shared" si="15"/>
        <v>116</v>
      </c>
      <c r="T44" s="13">
        <f t="shared" si="4"/>
        <v>1303298193.5919158</v>
      </c>
      <c r="U44" s="14">
        <v>42567</v>
      </c>
      <c r="X44" s="22">
        <f t="shared" si="16"/>
        <v>29</v>
      </c>
      <c r="Y44" s="13">
        <f t="shared" si="5"/>
        <v>913159887.78510034</v>
      </c>
      <c r="Z44" s="14">
        <v>42578</v>
      </c>
      <c r="AC44" s="22">
        <f t="shared" si="17"/>
        <v>70</v>
      </c>
      <c r="AD44" s="13">
        <f t="shared" si="6"/>
        <v>522792334.64927101</v>
      </c>
      <c r="AE44" s="14">
        <v>42745</v>
      </c>
      <c r="AH44" s="22">
        <f t="shared" si="18"/>
        <v>18</v>
      </c>
      <c r="AI44" s="13">
        <f t="shared" si="7"/>
        <v>737136841.70521545</v>
      </c>
      <c r="AJ44" s="14">
        <v>42789</v>
      </c>
      <c r="AM44" s="22">
        <f t="shared" si="19"/>
        <v>76</v>
      </c>
      <c r="AN44" s="13">
        <f t="shared" si="8"/>
        <v>2680388231.4294786</v>
      </c>
      <c r="AO44" s="14">
        <v>43176</v>
      </c>
      <c r="AR44" s="22">
        <f t="shared" si="20"/>
        <v>33</v>
      </c>
      <c r="AS44" s="13">
        <f t="shared" si="9"/>
        <v>411929376.40096843</v>
      </c>
      <c r="AT44" s="14">
        <v>43194</v>
      </c>
      <c r="AW44" s="22">
        <f t="shared" si="21"/>
        <v>52</v>
      </c>
      <c r="AX44" s="13">
        <f t="shared" si="10"/>
        <v>4696867214.6980524</v>
      </c>
      <c r="AY44" s="14">
        <v>43200</v>
      </c>
      <c r="BB44" s="22">
        <f t="shared" si="22"/>
        <v>37</v>
      </c>
      <c r="BC44" s="13">
        <f t="shared" si="11"/>
        <v>2610829601.6811738</v>
      </c>
      <c r="BD44" s="14">
        <v>43215</v>
      </c>
    </row>
    <row r="45" spans="1:56" x14ac:dyDescent="0.25">
      <c r="A45" s="15">
        <f t="shared" si="24"/>
        <v>7779752326.3715324</v>
      </c>
      <c r="B45" s="20">
        <v>43177</v>
      </c>
      <c r="D45" s="12">
        <f t="shared" si="12"/>
        <v>28</v>
      </c>
      <c r="E45" s="17">
        <f t="shared" si="0"/>
        <v>519225408.72700846</v>
      </c>
      <c r="F45" s="18">
        <v>42524</v>
      </c>
      <c r="I45" s="12">
        <f t="shared" si="13"/>
        <v>87</v>
      </c>
      <c r="J45" s="13">
        <f t="shared" si="2"/>
        <v>776852069.6202035</v>
      </c>
      <c r="K45" s="14">
        <v>42525</v>
      </c>
      <c r="N45" s="12">
        <f t="shared" si="14"/>
        <v>75</v>
      </c>
      <c r="O45" s="13">
        <f t="shared" si="3"/>
        <v>129557977.34113355</v>
      </c>
      <c r="P45" s="14">
        <v>42525</v>
      </c>
      <c r="S45" s="22">
        <f t="shared" si="15"/>
        <v>115</v>
      </c>
      <c r="T45" s="13">
        <f t="shared" si="4"/>
        <v>1303450027.1499763</v>
      </c>
      <c r="U45" s="14">
        <v>42568</v>
      </c>
      <c r="X45" s="22">
        <f t="shared" si="16"/>
        <v>28</v>
      </c>
      <c r="Y45" s="13">
        <f t="shared" si="5"/>
        <v>913260057.19614232</v>
      </c>
      <c r="Z45" s="14">
        <v>42579</v>
      </c>
      <c r="AC45" s="22">
        <f t="shared" si="17"/>
        <v>69</v>
      </c>
      <c r="AD45" s="13">
        <f t="shared" si="6"/>
        <v>522855056.13768989</v>
      </c>
      <c r="AE45" s="14">
        <v>42746</v>
      </c>
      <c r="AH45" s="22">
        <f t="shared" si="18"/>
        <v>17</v>
      </c>
      <c r="AI45" s="13">
        <f t="shared" si="7"/>
        <v>737217529.55861247</v>
      </c>
      <c r="AJ45" s="14">
        <v>42790</v>
      </c>
      <c r="AM45" s="22">
        <f t="shared" si="19"/>
        <v>75</v>
      </c>
      <c r="AN45" s="13">
        <f t="shared" si="8"/>
        <v>2680622474.6446662</v>
      </c>
      <c r="AO45" s="14">
        <v>43177</v>
      </c>
      <c r="AR45" s="22">
        <f t="shared" si="20"/>
        <v>32</v>
      </c>
      <c r="AS45" s="13">
        <f t="shared" si="9"/>
        <v>411971407.15876871</v>
      </c>
      <c r="AT45" s="14">
        <v>43195</v>
      </c>
      <c r="AW45" s="22">
        <f t="shared" si="21"/>
        <v>51</v>
      </c>
      <c r="AX45" s="13">
        <f t="shared" si="10"/>
        <v>4697257274.344059</v>
      </c>
      <c r="AY45" s="14">
        <v>43201</v>
      </c>
      <c r="BB45" s="22">
        <f t="shared" si="22"/>
        <v>36</v>
      </c>
      <c r="BC45" s="13">
        <f t="shared" si="11"/>
        <v>2611076205.1396022</v>
      </c>
      <c r="BD45" s="14">
        <v>43216</v>
      </c>
    </row>
    <row r="46" spans="1:56" x14ac:dyDescent="0.25">
      <c r="A46" s="15">
        <f t="shared" si="24"/>
        <v>7780417069.7436991</v>
      </c>
      <c r="B46" s="20">
        <v>43178</v>
      </c>
      <c r="D46" s="12">
        <f t="shared" si="12"/>
        <v>27</v>
      </c>
      <c r="E46" s="17">
        <f t="shared" si="0"/>
        <v>519286448.34785038</v>
      </c>
      <c r="F46" s="18">
        <v>42525</v>
      </c>
      <c r="I46" s="12">
        <f t="shared" si="13"/>
        <v>86</v>
      </c>
      <c r="J46" s="13">
        <f t="shared" si="2"/>
        <v>776942157.39641428</v>
      </c>
      <c r="K46" s="14">
        <v>42526</v>
      </c>
      <c r="N46" s="12">
        <f t="shared" si="14"/>
        <v>74</v>
      </c>
      <c r="O46" s="13">
        <f t="shared" si="3"/>
        <v>129573726.82305682</v>
      </c>
      <c r="P46" s="14">
        <v>42526</v>
      </c>
      <c r="S46" s="22">
        <f t="shared" si="15"/>
        <v>114</v>
      </c>
      <c r="T46" s="13">
        <f t="shared" si="4"/>
        <v>1303601896.0892186</v>
      </c>
      <c r="U46" s="14">
        <v>42569</v>
      </c>
      <c r="X46" s="22">
        <f t="shared" si="16"/>
        <v>27</v>
      </c>
      <c r="Y46" s="13">
        <f t="shared" si="5"/>
        <v>913360248.58583605</v>
      </c>
      <c r="Z46" s="14">
        <v>42580</v>
      </c>
      <c r="AC46" s="22">
        <f t="shared" si="17"/>
        <v>68</v>
      </c>
      <c r="AD46" s="13">
        <f t="shared" si="6"/>
        <v>522917792.67781055</v>
      </c>
      <c r="AE46" s="14">
        <v>42747</v>
      </c>
      <c r="AH46" s="22">
        <f t="shared" si="18"/>
        <v>16</v>
      </c>
      <c r="AI46" s="13">
        <f t="shared" si="7"/>
        <v>737298235.0783155</v>
      </c>
      <c r="AJ46" s="14">
        <v>42791</v>
      </c>
      <c r="AM46" s="22">
        <f t="shared" si="19"/>
        <v>74</v>
      </c>
      <c r="AN46" s="13">
        <f t="shared" si="8"/>
        <v>2680856758.8051763</v>
      </c>
      <c r="AO46" s="14">
        <v>43178</v>
      </c>
      <c r="AR46" s="22">
        <f t="shared" si="20"/>
        <v>31</v>
      </c>
      <c r="AS46" s="13">
        <f t="shared" si="9"/>
        <v>412013446.49456799</v>
      </c>
      <c r="AT46" s="14">
        <v>43196</v>
      </c>
      <c r="AW46" s="22">
        <f t="shared" si="21"/>
        <v>50</v>
      </c>
      <c r="AX46" s="13">
        <f t="shared" si="10"/>
        <v>4697647398.7818336</v>
      </c>
      <c r="AY46" s="14">
        <v>43202</v>
      </c>
      <c r="BB46" s="22">
        <f t="shared" si="22"/>
        <v>35</v>
      </c>
      <c r="BC46" s="13">
        <f t="shared" si="11"/>
        <v>2611322855.1878281</v>
      </c>
      <c r="BD46" s="14">
        <v>43217</v>
      </c>
    </row>
    <row r="47" spans="1:56" x14ac:dyDescent="0.25">
      <c r="A47" s="15">
        <f>+AN47+AS29+AX23+BC8</f>
        <v>10383064722.027348</v>
      </c>
      <c r="B47" s="20">
        <v>43179</v>
      </c>
      <c r="D47" s="12">
        <f t="shared" si="12"/>
        <v>26</v>
      </c>
      <c r="E47" s="17">
        <f t="shared" si="0"/>
        <v>519347502.32189333</v>
      </c>
      <c r="F47" s="18">
        <v>42526</v>
      </c>
      <c r="I47" s="12">
        <f t="shared" si="13"/>
        <v>85</v>
      </c>
      <c r="J47" s="13">
        <f t="shared" si="2"/>
        <v>777032266.06913555</v>
      </c>
      <c r="K47" s="14">
        <v>42527</v>
      </c>
      <c r="N47" s="12">
        <f t="shared" si="14"/>
        <v>73</v>
      </c>
      <c r="O47" s="13">
        <f t="shared" si="3"/>
        <v>129589480.13456038</v>
      </c>
      <c r="P47" s="14">
        <v>42527</v>
      </c>
      <c r="S47" s="22">
        <f t="shared" si="15"/>
        <v>113</v>
      </c>
      <c r="T47" s="13">
        <f t="shared" si="4"/>
        <v>1303753800.4220119</v>
      </c>
      <c r="U47" s="14">
        <v>42570</v>
      </c>
      <c r="X47" s="22">
        <f t="shared" si="16"/>
        <v>26</v>
      </c>
      <c r="Y47" s="13">
        <f t="shared" si="5"/>
        <v>913460461.96141636</v>
      </c>
      <c r="Z47" s="14">
        <v>42581</v>
      </c>
      <c r="AC47" s="22">
        <f t="shared" si="17"/>
        <v>67</v>
      </c>
      <c r="AD47" s="13">
        <f t="shared" si="6"/>
        <v>522980544.27505159</v>
      </c>
      <c r="AE47" s="14">
        <v>42748</v>
      </c>
      <c r="AH47" s="22">
        <f t="shared" si="18"/>
        <v>15</v>
      </c>
      <c r="AI47" s="13">
        <f t="shared" si="7"/>
        <v>737378958.27012658</v>
      </c>
      <c r="AJ47" s="14">
        <v>42792</v>
      </c>
      <c r="AM47" s="22">
        <f t="shared" si="19"/>
        <v>73</v>
      </c>
      <c r="AN47" s="13">
        <f t="shared" si="8"/>
        <v>2681091083.9217439</v>
      </c>
      <c r="AO47" s="14">
        <v>43179</v>
      </c>
      <c r="AR47" s="22">
        <f t="shared" si="20"/>
        <v>30</v>
      </c>
      <c r="AS47" s="13">
        <f t="shared" si="9"/>
        <v>412055494.41099244</v>
      </c>
      <c r="AT47" s="14">
        <v>43197</v>
      </c>
      <c r="AW47" s="22">
        <f t="shared" si="21"/>
        <v>49</v>
      </c>
      <c r="AX47" s="13">
        <f t="shared" si="10"/>
        <v>4698037588.0275211</v>
      </c>
      <c r="AY47" s="14">
        <v>43203</v>
      </c>
      <c r="BB47" s="22">
        <f t="shared" si="22"/>
        <v>34</v>
      </c>
      <c r="BC47" s="13">
        <f t="shared" si="11"/>
        <v>2611569551.8390546</v>
      </c>
      <c r="BD47" s="14">
        <v>43218</v>
      </c>
    </row>
    <row r="48" spans="1:56" x14ac:dyDescent="0.25">
      <c r="A48" s="15">
        <f t="shared" ref="A48:A111" si="25">+AN48+AS30+AX24+BC9</f>
        <v>10383974628.229744</v>
      </c>
      <c r="B48" s="20">
        <v>43180</v>
      </c>
      <c r="D48" s="12">
        <f t="shared" si="12"/>
        <v>25</v>
      </c>
      <c r="E48" s="17">
        <f t="shared" si="0"/>
        <v>519408570.65420079</v>
      </c>
      <c r="F48" s="18">
        <v>42527</v>
      </c>
      <c r="I48" s="12">
        <f t="shared" si="13"/>
        <v>84</v>
      </c>
      <c r="J48" s="13">
        <f t="shared" si="2"/>
        <v>777122395.64563859</v>
      </c>
      <c r="K48" s="14">
        <v>42528</v>
      </c>
      <c r="N48" s="12">
        <f t="shared" si="14"/>
        <v>72</v>
      </c>
      <c r="O48" s="13">
        <f t="shared" si="3"/>
        <v>129605237.27704117</v>
      </c>
      <c r="P48" s="14">
        <v>42528</v>
      </c>
      <c r="S48" s="22">
        <f t="shared" si="15"/>
        <v>112</v>
      </c>
      <c r="T48" s="13">
        <f t="shared" si="4"/>
        <v>1303905740.1607296</v>
      </c>
      <c r="U48" s="14">
        <v>42571</v>
      </c>
      <c r="X48" s="22">
        <f t="shared" si="16"/>
        <v>25</v>
      </c>
      <c r="Y48" s="13">
        <f t="shared" si="5"/>
        <v>913560697.33012092</v>
      </c>
      <c r="Z48" s="14">
        <v>42582</v>
      </c>
      <c r="AC48" s="22">
        <f t="shared" si="17"/>
        <v>66</v>
      </c>
      <c r="AD48" s="13">
        <f t="shared" si="6"/>
        <v>523043310.93483448</v>
      </c>
      <c r="AE48" s="14">
        <v>42749</v>
      </c>
      <c r="AH48" s="22">
        <f t="shared" si="18"/>
        <v>14</v>
      </c>
      <c r="AI48" s="13">
        <f t="shared" si="7"/>
        <v>737459699.13985145</v>
      </c>
      <c r="AJ48" s="14">
        <v>42793</v>
      </c>
      <c r="AM48" s="22">
        <f t="shared" si="19"/>
        <v>72</v>
      </c>
      <c r="AN48" s="13">
        <f t="shared" si="8"/>
        <v>2681325450.0051117</v>
      </c>
      <c r="AO48" s="14">
        <v>43180</v>
      </c>
      <c r="AR48" s="22">
        <f t="shared" si="20"/>
        <v>29</v>
      </c>
      <c r="AS48" s="13">
        <f t="shared" si="9"/>
        <v>412097550.91066933</v>
      </c>
      <c r="AT48" s="14">
        <v>43198</v>
      </c>
      <c r="AW48" s="22">
        <f t="shared" si="21"/>
        <v>48</v>
      </c>
      <c r="AX48" s="13">
        <f t="shared" si="10"/>
        <v>4698427842.09727</v>
      </c>
      <c r="AY48" s="14">
        <v>43204</v>
      </c>
      <c r="BB48" s="22">
        <f t="shared" si="22"/>
        <v>33</v>
      </c>
      <c r="BC48" s="13">
        <f t="shared" si="11"/>
        <v>2611816295.1064911</v>
      </c>
      <c r="BD48" s="14">
        <v>43219</v>
      </c>
    </row>
    <row r="49" spans="1:56" x14ac:dyDescent="0.25">
      <c r="A49" s="15">
        <f t="shared" si="25"/>
        <v>10384884694.520121</v>
      </c>
      <c r="B49" s="20">
        <v>43181</v>
      </c>
      <c r="D49" s="12">
        <f t="shared" si="12"/>
        <v>24</v>
      </c>
      <c r="E49" s="17">
        <f t="shared" si="0"/>
        <v>519469653.34983826</v>
      </c>
      <c r="F49" s="18">
        <v>42528</v>
      </c>
      <c r="I49" s="12">
        <f t="shared" si="13"/>
        <v>83</v>
      </c>
      <c r="J49" s="13">
        <f t="shared" si="2"/>
        <v>777212546.1331985</v>
      </c>
      <c r="K49" s="14">
        <v>42529</v>
      </c>
      <c r="N49" s="12">
        <f t="shared" si="14"/>
        <v>71</v>
      </c>
      <c r="O49" s="13">
        <f t="shared" si="3"/>
        <v>129620998.25189681</v>
      </c>
      <c r="P49" s="14">
        <v>42529</v>
      </c>
      <c r="S49" s="22">
        <f t="shared" si="15"/>
        <v>111</v>
      </c>
      <c r="T49" s="13">
        <f t="shared" si="4"/>
        <v>1304057715.3177528</v>
      </c>
      <c r="U49" s="14">
        <v>42572</v>
      </c>
      <c r="X49" s="22">
        <f t="shared" si="16"/>
        <v>24</v>
      </c>
      <c r="Y49" s="13">
        <f t="shared" si="5"/>
        <v>913660954.69919014</v>
      </c>
      <c r="Z49" s="14">
        <v>42583</v>
      </c>
      <c r="AC49" s="22">
        <f t="shared" si="17"/>
        <v>65</v>
      </c>
      <c r="AD49" s="13">
        <f t="shared" si="6"/>
        <v>523106092.66258311</v>
      </c>
      <c r="AE49" s="14">
        <v>42750</v>
      </c>
      <c r="AH49" s="22">
        <f t="shared" si="18"/>
        <v>13</v>
      </c>
      <c r="AI49" s="13">
        <f t="shared" si="7"/>
        <v>737540457.69329739</v>
      </c>
      <c r="AJ49" s="14">
        <v>42794</v>
      </c>
      <c r="AM49" s="22">
        <f t="shared" si="19"/>
        <v>71</v>
      </c>
      <c r="AN49" s="13">
        <f t="shared" si="8"/>
        <v>2681559857.0660219</v>
      </c>
      <c r="AO49" s="14">
        <v>43181</v>
      </c>
      <c r="AR49" s="22">
        <f t="shared" si="20"/>
        <v>28</v>
      </c>
      <c r="AS49" s="13">
        <f t="shared" si="9"/>
        <v>412139615.99622732</v>
      </c>
      <c r="AT49" s="14">
        <v>43199</v>
      </c>
      <c r="AW49" s="22">
        <f t="shared" si="21"/>
        <v>47</v>
      </c>
      <c r="AX49" s="13">
        <f t="shared" si="10"/>
        <v>4698818161.0072384</v>
      </c>
      <c r="AY49" s="14">
        <v>43205</v>
      </c>
      <c r="BB49" s="22">
        <f t="shared" si="22"/>
        <v>32</v>
      </c>
      <c r="BC49" s="13">
        <f t="shared" si="11"/>
        <v>2612063085.0033531</v>
      </c>
      <c r="BD49" s="14">
        <v>43220</v>
      </c>
    </row>
    <row r="50" spans="1:56" x14ac:dyDescent="0.25">
      <c r="A50" s="15">
        <f t="shared" si="25"/>
        <v>10385794920.940895</v>
      </c>
      <c r="B50" s="20">
        <v>43182</v>
      </c>
      <c r="D50" s="12">
        <f t="shared" si="12"/>
        <v>23</v>
      </c>
      <c r="E50" s="17">
        <f t="shared" si="0"/>
        <v>519530750.41387361</v>
      </c>
      <c r="F50" s="18">
        <v>42529</v>
      </c>
      <c r="I50" s="12">
        <f t="shared" si="13"/>
        <v>82</v>
      </c>
      <c r="J50" s="13">
        <f t="shared" si="2"/>
        <v>777302717.53909338</v>
      </c>
      <c r="K50" s="14">
        <v>42530</v>
      </c>
      <c r="N50" s="12">
        <f t="shared" si="14"/>
        <v>70</v>
      </c>
      <c r="O50" s="13">
        <f t="shared" si="3"/>
        <v>129636763.0605256</v>
      </c>
      <c r="P50" s="14">
        <v>42530</v>
      </c>
      <c r="S50" s="22">
        <f t="shared" si="15"/>
        <v>110</v>
      </c>
      <c r="T50" s="13">
        <f t="shared" si="4"/>
        <v>1304209725.9054668</v>
      </c>
      <c r="U50" s="14">
        <v>42573</v>
      </c>
      <c r="X50" s="22">
        <f t="shared" si="16"/>
        <v>23</v>
      </c>
      <c r="Y50" s="13">
        <f t="shared" si="5"/>
        <v>913761234.07586825</v>
      </c>
      <c r="Z50" s="14">
        <v>42584</v>
      </c>
      <c r="AC50" s="22">
        <f t="shared" si="17"/>
        <v>64</v>
      </c>
      <c r="AD50" s="13">
        <f t="shared" si="6"/>
        <v>523168889.46372402</v>
      </c>
      <c r="AE50" s="14">
        <v>42751</v>
      </c>
      <c r="AH50" s="22">
        <f t="shared" si="18"/>
        <v>12</v>
      </c>
      <c r="AI50" s="13">
        <f t="shared" si="7"/>
        <v>737621233.93627453</v>
      </c>
      <c r="AJ50" s="14">
        <v>42795</v>
      </c>
      <c r="AM50" s="22">
        <f t="shared" si="19"/>
        <v>70</v>
      </c>
      <c r="AN50" s="13">
        <f t="shared" si="8"/>
        <v>2681794305.1152239</v>
      </c>
      <c r="AO50" s="14">
        <v>43182</v>
      </c>
      <c r="AR50" s="22">
        <f t="shared" si="20"/>
        <v>27</v>
      </c>
      <c r="AS50" s="13">
        <f t="shared" si="9"/>
        <v>412181689.67029566</v>
      </c>
      <c r="AT50" s="14">
        <v>43200</v>
      </c>
      <c r="AW50" s="22">
        <f t="shared" si="21"/>
        <v>46</v>
      </c>
      <c r="AX50" s="13">
        <f t="shared" si="10"/>
        <v>4699208544.7735853</v>
      </c>
      <c r="AY50" s="14">
        <v>43206</v>
      </c>
      <c r="BB50" s="22">
        <f t="shared" si="22"/>
        <v>31</v>
      </c>
      <c r="BC50" s="13">
        <f t="shared" si="11"/>
        <v>2612309921.5428581</v>
      </c>
      <c r="BD50" s="14">
        <v>43221</v>
      </c>
    </row>
    <row r="51" spans="1:56" x14ac:dyDescent="0.25">
      <c r="A51" s="15">
        <f t="shared" si="25"/>
        <v>10386705307.534504</v>
      </c>
      <c r="B51" s="20">
        <v>43183</v>
      </c>
      <c r="D51" s="12">
        <f t="shared" si="12"/>
        <v>22</v>
      </c>
      <c r="E51" s="17">
        <f t="shared" si="0"/>
        <v>519591861.85137749</v>
      </c>
      <c r="F51" s="18">
        <v>42530</v>
      </c>
      <c r="I51" s="12">
        <f t="shared" si="13"/>
        <v>81</v>
      </c>
      <c r="J51" s="13">
        <f t="shared" si="2"/>
        <v>777392909.87060475</v>
      </c>
      <c r="K51" s="14">
        <v>42531</v>
      </c>
      <c r="N51" s="12">
        <f t="shared" si="14"/>
        <v>69</v>
      </c>
      <c r="O51" s="13">
        <f t="shared" si="3"/>
        <v>129652531.70432657</v>
      </c>
      <c r="P51" s="14">
        <v>42531</v>
      </c>
      <c r="S51" s="22">
        <f t="shared" si="15"/>
        <v>109</v>
      </c>
      <c r="T51" s="13">
        <f t="shared" si="4"/>
        <v>1304361771.9362636</v>
      </c>
      <c r="U51" s="14">
        <v>42574</v>
      </c>
      <c r="X51" s="22">
        <f t="shared" si="16"/>
        <v>22</v>
      </c>
      <c r="Y51" s="13">
        <f t="shared" si="5"/>
        <v>913861535.4674027</v>
      </c>
      <c r="Z51" s="14">
        <v>42585</v>
      </c>
      <c r="AC51" s="22">
        <f t="shared" si="17"/>
        <v>63</v>
      </c>
      <c r="AD51" s="13">
        <f t="shared" si="6"/>
        <v>523231701.3436864</v>
      </c>
      <c r="AE51" s="14">
        <v>42752</v>
      </c>
      <c r="AH51" s="22">
        <f t="shared" si="18"/>
        <v>11</v>
      </c>
      <c r="AI51" s="13">
        <f t="shared" si="7"/>
        <v>737702027.87459612</v>
      </c>
      <c r="AJ51" s="14">
        <v>42796</v>
      </c>
      <c r="AM51" s="22">
        <f t="shared" si="19"/>
        <v>69</v>
      </c>
      <c r="AN51" s="13">
        <f t="shared" si="8"/>
        <v>2682028794.1634684</v>
      </c>
      <c r="AO51" s="14">
        <v>43183</v>
      </c>
      <c r="AR51" s="22">
        <f t="shared" si="20"/>
        <v>26</v>
      </c>
      <c r="AS51" s="13">
        <f t="shared" si="9"/>
        <v>412223771.93550509</v>
      </c>
      <c r="AT51" s="14">
        <v>43201</v>
      </c>
      <c r="AW51" s="22">
        <f t="shared" si="21"/>
        <v>45</v>
      </c>
      <c r="AX51" s="13">
        <f t="shared" si="10"/>
        <v>4699598993.4124775</v>
      </c>
      <c r="AY51" s="14">
        <v>43207</v>
      </c>
      <c r="BB51" s="22">
        <f t="shared" si="22"/>
        <v>30</v>
      </c>
      <c r="BC51" s="13">
        <f t="shared" si="11"/>
        <v>2612556804.7382321</v>
      </c>
      <c r="BD51" s="14">
        <v>43222</v>
      </c>
    </row>
    <row r="52" spans="1:56" x14ac:dyDescent="0.25">
      <c r="A52" s="15">
        <f t="shared" si="25"/>
        <v>10387615854.343388</v>
      </c>
      <c r="B52" s="20">
        <v>43184</v>
      </c>
      <c r="D52" s="12">
        <f t="shared" si="12"/>
        <v>21</v>
      </c>
      <c r="E52" s="17">
        <f t="shared" si="0"/>
        <v>519652987.66742241</v>
      </c>
      <c r="F52" s="18">
        <v>42531</v>
      </c>
      <c r="I52" s="12">
        <f t="shared" si="13"/>
        <v>80</v>
      </c>
      <c r="J52" s="13">
        <f t="shared" si="2"/>
        <v>777483123.13501799</v>
      </c>
      <c r="K52" s="14">
        <v>42532</v>
      </c>
      <c r="N52" s="12">
        <f t="shared" si="14"/>
        <v>68</v>
      </c>
      <c r="O52" s="13">
        <f t="shared" si="3"/>
        <v>129668304.18469936</v>
      </c>
      <c r="P52" s="14">
        <v>42532</v>
      </c>
      <c r="S52" s="22">
        <f t="shared" si="15"/>
        <v>108</v>
      </c>
      <c r="T52" s="13">
        <f t="shared" si="4"/>
        <v>1304513853.4225399</v>
      </c>
      <c r="U52" s="14">
        <v>42575</v>
      </c>
      <c r="X52" s="22">
        <f t="shared" si="16"/>
        <v>21</v>
      </c>
      <c r="Y52" s="13">
        <f t="shared" si="5"/>
        <v>913961858.88104331</v>
      </c>
      <c r="Z52" s="14">
        <v>42586</v>
      </c>
      <c r="AC52" s="22">
        <f t="shared" si="17"/>
        <v>62</v>
      </c>
      <c r="AD52" s="13">
        <f t="shared" si="6"/>
        <v>523294528.30790198</v>
      </c>
      <c r="AE52" s="14">
        <v>42753</v>
      </c>
      <c r="AH52" s="22">
        <f t="shared" si="18"/>
        <v>10</v>
      </c>
      <c r="AI52" s="13">
        <f t="shared" si="7"/>
        <v>737782839.51407683</v>
      </c>
      <c r="AJ52" s="14">
        <v>42797</v>
      </c>
      <c r="AM52" s="22">
        <f t="shared" si="19"/>
        <v>68</v>
      </c>
      <c r="AN52" s="13">
        <f t="shared" si="8"/>
        <v>2682263324.2215118</v>
      </c>
      <c r="AO52" s="14">
        <v>43184</v>
      </c>
      <c r="AR52" s="22">
        <f t="shared" si="20"/>
        <v>25</v>
      </c>
      <c r="AS52" s="13">
        <f t="shared" si="9"/>
        <v>412265862.79448718</v>
      </c>
      <c r="AT52" s="14">
        <v>43202</v>
      </c>
      <c r="AW52" s="22">
        <f t="shared" si="21"/>
        <v>44</v>
      </c>
      <c r="AX52" s="13">
        <f t="shared" si="10"/>
        <v>4699989506.9400864</v>
      </c>
      <c r="AY52" s="14">
        <v>43208</v>
      </c>
      <c r="BB52" s="22">
        <f t="shared" si="22"/>
        <v>29</v>
      </c>
      <c r="BC52" s="13">
        <f t="shared" si="11"/>
        <v>2612803734.6027026</v>
      </c>
      <c r="BD52" s="14">
        <v>43223</v>
      </c>
    </row>
    <row r="53" spans="1:56" x14ac:dyDescent="0.25">
      <c r="A53" s="15">
        <f t="shared" si="25"/>
        <v>10388526561.410015</v>
      </c>
      <c r="B53" s="20">
        <v>43185</v>
      </c>
      <c r="D53" s="12">
        <f t="shared" si="12"/>
        <v>20</v>
      </c>
      <c r="E53" s="17">
        <f t="shared" si="0"/>
        <v>519714127.86708379</v>
      </c>
      <c r="F53" s="18">
        <v>42532</v>
      </c>
      <c r="I53" s="12">
        <f t="shared" si="13"/>
        <v>79</v>
      </c>
      <c r="J53" s="13">
        <f t="shared" si="2"/>
        <v>777573357.33962119</v>
      </c>
      <c r="K53" s="14">
        <v>42533</v>
      </c>
      <c r="N53" s="12">
        <f t="shared" si="14"/>
        <v>67</v>
      </c>
      <c r="O53" s="13">
        <f t="shared" si="3"/>
        <v>129684080.50304431</v>
      </c>
      <c r="P53" s="14">
        <v>42533</v>
      </c>
      <c r="S53" s="22">
        <f t="shared" si="15"/>
        <v>107</v>
      </c>
      <c r="T53" s="13">
        <f t="shared" si="4"/>
        <v>1304665970.3766997</v>
      </c>
      <c r="U53" s="14">
        <v>42576</v>
      </c>
      <c r="X53" s="22">
        <f t="shared" si="16"/>
        <v>20</v>
      </c>
      <c r="Y53" s="13">
        <f t="shared" si="5"/>
        <v>914062204.32404387</v>
      </c>
      <c r="Z53" s="14">
        <v>42587</v>
      </c>
      <c r="AC53" s="22">
        <f t="shared" si="17"/>
        <v>61</v>
      </c>
      <c r="AD53" s="13">
        <f t="shared" si="6"/>
        <v>523357370.36180514</v>
      </c>
      <c r="AE53" s="14">
        <v>42754</v>
      </c>
      <c r="AH53" s="22">
        <f t="shared" si="18"/>
        <v>9</v>
      </c>
      <c r="AI53" s="13">
        <f t="shared" si="7"/>
        <v>737863668.86053514</v>
      </c>
      <c r="AJ53" s="14">
        <v>42798</v>
      </c>
      <c r="AM53" s="22">
        <f t="shared" si="19"/>
        <v>67</v>
      </c>
      <c r="AN53" s="13">
        <f t="shared" si="8"/>
        <v>2682497895.3001122</v>
      </c>
      <c r="AO53" s="14">
        <v>43185</v>
      </c>
      <c r="AR53" s="22">
        <f t="shared" si="20"/>
        <v>24</v>
      </c>
      <c r="AS53" s="13">
        <f t="shared" si="9"/>
        <v>412307962.24987453</v>
      </c>
      <c r="AT53" s="14">
        <v>43203</v>
      </c>
      <c r="AW53" s="22">
        <f t="shared" si="21"/>
        <v>43</v>
      </c>
      <c r="AX53" s="13">
        <f t="shared" si="10"/>
        <v>4700380085.372591</v>
      </c>
      <c r="AY53" s="14">
        <v>43209</v>
      </c>
      <c r="BB53" s="22">
        <f t="shared" si="22"/>
        <v>28</v>
      </c>
      <c r="BC53" s="13">
        <f t="shared" si="11"/>
        <v>2613050711.1495056</v>
      </c>
      <c r="BD53" s="14">
        <v>43224</v>
      </c>
    </row>
    <row r="54" spans="1:56" x14ac:dyDescent="0.25">
      <c r="A54" s="15">
        <f t="shared" si="25"/>
        <v>10389437428.776861</v>
      </c>
      <c r="B54" s="20">
        <v>43186</v>
      </c>
      <c r="D54" s="12">
        <f t="shared" si="12"/>
        <v>19</v>
      </c>
      <c r="E54" s="17">
        <f t="shared" si="0"/>
        <v>519775282.45543891</v>
      </c>
      <c r="F54" s="18">
        <v>42533</v>
      </c>
      <c r="I54" s="12">
        <f t="shared" si="13"/>
        <v>78</v>
      </c>
      <c r="J54" s="13">
        <f t="shared" si="2"/>
        <v>777663612.49170589</v>
      </c>
      <c r="K54" s="14">
        <v>42534</v>
      </c>
      <c r="N54" s="12">
        <f t="shared" si="14"/>
        <v>66</v>
      </c>
      <c r="O54" s="13">
        <f t="shared" si="3"/>
        <v>129699860.66076244</v>
      </c>
      <c r="P54" s="14">
        <v>42534</v>
      </c>
      <c r="S54" s="22">
        <f t="shared" si="15"/>
        <v>106</v>
      </c>
      <c r="T54" s="13">
        <f t="shared" si="4"/>
        <v>1304818122.8111517</v>
      </c>
      <c r="U54" s="14">
        <v>42577</v>
      </c>
      <c r="X54" s="22">
        <f t="shared" si="16"/>
        <v>19</v>
      </c>
      <c r="Y54" s="13">
        <f t="shared" si="5"/>
        <v>914162571.80366135</v>
      </c>
      <c r="Z54" s="14">
        <v>42588</v>
      </c>
      <c r="AC54" s="22">
        <f t="shared" si="17"/>
        <v>60</v>
      </c>
      <c r="AD54" s="13">
        <f t="shared" si="6"/>
        <v>523420227.51083285</v>
      </c>
      <c r="AE54" s="14">
        <v>42755</v>
      </c>
      <c r="AH54" s="22">
        <f t="shared" si="18"/>
        <v>8</v>
      </c>
      <c r="AI54" s="13">
        <f t="shared" si="7"/>
        <v>737944515.91979098</v>
      </c>
      <c r="AJ54" s="14">
        <v>42799</v>
      </c>
      <c r="AM54" s="22">
        <f t="shared" si="19"/>
        <v>66</v>
      </c>
      <c r="AN54" s="13">
        <f t="shared" si="8"/>
        <v>2682732507.4100342</v>
      </c>
      <c r="AO54" s="14">
        <v>43186</v>
      </c>
      <c r="AR54" s="22">
        <f t="shared" si="20"/>
        <v>23</v>
      </c>
      <c r="AS54" s="13">
        <f t="shared" si="9"/>
        <v>412350070.30430114</v>
      </c>
      <c r="AT54" s="14">
        <v>43204</v>
      </c>
      <c r="AW54" s="22">
        <f t="shared" si="21"/>
        <v>42</v>
      </c>
      <c r="AX54" s="13">
        <f t="shared" si="10"/>
        <v>4700770728.7261724</v>
      </c>
      <c r="AY54" s="14">
        <v>43210</v>
      </c>
      <c r="BB54" s="22">
        <f t="shared" si="22"/>
        <v>27</v>
      </c>
      <c r="BC54" s="13">
        <f t="shared" si="11"/>
        <v>2613297734.3918786</v>
      </c>
      <c r="BD54" s="14">
        <v>43225</v>
      </c>
    </row>
    <row r="55" spans="1:56" x14ac:dyDescent="0.25">
      <c r="A55" s="15">
        <f t="shared" si="25"/>
        <v>10390348456.486418</v>
      </c>
      <c r="B55" s="20">
        <v>43187</v>
      </c>
      <c r="D55" s="12">
        <f t="shared" si="12"/>
        <v>18</v>
      </c>
      <c r="E55" s="17">
        <f t="shared" si="0"/>
        <v>519836451.43756795</v>
      </c>
      <c r="F55" s="18">
        <v>42534</v>
      </c>
      <c r="I55" s="12">
        <f t="shared" si="13"/>
        <v>77</v>
      </c>
      <c r="J55" s="13">
        <f t="shared" si="2"/>
        <v>777753888.59856772</v>
      </c>
      <c r="K55" s="14">
        <v>42535</v>
      </c>
      <c r="N55" s="12">
        <f t="shared" si="14"/>
        <v>65</v>
      </c>
      <c r="O55" s="13">
        <f t="shared" si="3"/>
        <v>129715644.65925552</v>
      </c>
      <c r="P55" s="14">
        <v>42535</v>
      </c>
      <c r="S55" s="22">
        <f t="shared" si="15"/>
        <v>105</v>
      </c>
      <c r="T55" s="13">
        <f t="shared" si="4"/>
        <v>1304970310.7383106</v>
      </c>
      <c r="U55" s="14">
        <v>42578</v>
      </c>
      <c r="X55" s="22">
        <f t="shared" si="16"/>
        <v>18</v>
      </c>
      <c r="Y55" s="13">
        <f t="shared" si="5"/>
        <v>914262961.32715523</v>
      </c>
      <c r="Z55" s="14">
        <v>42589</v>
      </c>
      <c r="AC55" s="22">
        <f t="shared" si="17"/>
        <v>59</v>
      </c>
      <c r="AD55" s="13">
        <f t="shared" si="6"/>
        <v>523483099.76042473</v>
      </c>
      <c r="AE55" s="14">
        <v>42756</v>
      </c>
      <c r="AH55" s="22">
        <f t="shared" si="18"/>
        <v>7</v>
      </c>
      <c r="AI55" s="13">
        <f t="shared" si="7"/>
        <v>738025380.69766772</v>
      </c>
      <c r="AJ55" s="14">
        <v>42800</v>
      </c>
      <c r="AM55" s="22">
        <f t="shared" si="19"/>
        <v>65</v>
      </c>
      <c r="AN55" s="13">
        <f t="shared" si="8"/>
        <v>2682967160.5620427</v>
      </c>
      <c r="AO55" s="14">
        <v>43187</v>
      </c>
      <c r="AR55" s="22">
        <f t="shared" si="20"/>
        <v>22</v>
      </c>
      <c r="AS55" s="13">
        <f t="shared" si="9"/>
        <v>412392186.96040183</v>
      </c>
      <c r="AT55" s="14">
        <v>43205</v>
      </c>
      <c r="AW55" s="22">
        <f t="shared" si="21"/>
        <v>41</v>
      </c>
      <c r="AX55" s="13">
        <f t="shared" si="10"/>
        <v>4701161437.0170183</v>
      </c>
      <c r="AY55" s="14">
        <v>43211</v>
      </c>
      <c r="BB55" s="22">
        <f t="shared" si="22"/>
        <v>26</v>
      </c>
      <c r="BC55" s="13">
        <f t="shared" si="11"/>
        <v>2613544804.3430676</v>
      </c>
      <c r="BD55" s="14">
        <v>43226</v>
      </c>
    </row>
    <row r="56" spans="1:56" x14ac:dyDescent="0.25">
      <c r="A56" s="15">
        <f t="shared" si="25"/>
        <v>10391259644.581192</v>
      </c>
      <c r="B56" s="20">
        <v>43188</v>
      </c>
      <c r="D56" s="12">
        <f t="shared" si="12"/>
        <v>17</v>
      </c>
      <c r="E56" s="17">
        <f t="shared" si="0"/>
        <v>519897634.81855297</v>
      </c>
      <c r="F56" s="18">
        <v>42535</v>
      </c>
      <c r="I56" s="12">
        <f t="shared" si="13"/>
        <v>76</v>
      </c>
      <c r="J56" s="13">
        <f t="shared" si="2"/>
        <v>777844185.66750503</v>
      </c>
      <c r="K56" s="14">
        <v>42536</v>
      </c>
      <c r="N56" s="12">
        <f t="shared" si="14"/>
        <v>64</v>
      </c>
      <c r="O56" s="13">
        <f t="shared" si="3"/>
        <v>129731432.49992591</v>
      </c>
      <c r="P56" s="14">
        <v>42536</v>
      </c>
      <c r="S56" s="22">
        <f t="shared" si="15"/>
        <v>104</v>
      </c>
      <c r="T56" s="13">
        <f t="shared" si="4"/>
        <v>1305122534.1705968</v>
      </c>
      <c r="U56" s="14">
        <v>42579</v>
      </c>
      <c r="X56" s="22">
        <f t="shared" si="16"/>
        <v>17</v>
      </c>
      <c r="Y56" s="13">
        <f t="shared" si="5"/>
        <v>914363372.90178871</v>
      </c>
      <c r="Z56" s="14">
        <v>42590</v>
      </c>
      <c r="AC56" s="22">
        <f t="shared" si="17"/>
        <v>58</v>
      </c>
      <c r="AD56" s="13">
        <f t="shared" si="6"/>
        <v>523545987.11602294</v>
      </c>
      <c r="AE56" s="14">
        <v>42757</v>
      </c>
      <c r="AH56" s="22">
        <f t="shared" si="18"/>
        <v>6</v>
      </c>
      <c r="AI56" s="13">
        <f t="shared" si="7"/>
        <v>738106263.19999063</v>
      </c>
      <c r="AJ56" s="14">
        <v>42801</v>
      </c>
      <c r="AM56" s="22">
        <f t="shared" si="19"/>
        <v>64</v>
      </c>
      <c r="AN56" s="13">
        <f t="shared" si="8"/>
        <v>2683201854.7669101</v>
      </c>
      <c r="AO56" s="14">
        <v>43188</v>
      </c>
      <c r="AR56" s="22">
        <f t="shared" si="20"/>
        <v>21</v>
      </c>
      <c r="AS56" s="13">
        <f t="shared" si="9"/>
        <v>412434312.22081238</v>
      </c>
      <c r="AT56" s="14">
        <v>43206</v>
      </c>
      <c r="AW56" s="22">
        <f t="shared" si="21"/>
        <v>40</v>
      </c>
      <c r="AX56" s="13">
        <f t="shared" si="10"/>
        <v>4701552210.261323</v>
      </c>
      <c r="AY56" s="14">
        <v>43212</v>
      </c>
      <c r="BB56" s="22">
        <f t="shared" si="22"/>
        <v>25</v>
      </c>
      <c r="BC56" s="13">
        <f t="shared" si="11"/>
        <v>2613791921.0163202</v>
      </c>
      <c r="BD56" s="14">
        <v>43227</v>
      </c>
    </row>
    <row r="57" spans="1:56" x14ac:dyDescent="0.25">
      <c r="A57" s="15">
        <f t="shared" si="25"/>
        <v>10392170993.103708</v>
      </c>
      <c r="B57" s="20">
        <v>43189</v>
      </c>
      <c r="D57" s="12">
        <f t="shared" si="12"/>
        <v>16</v>
      </c>
      <c r="E57" s="17">
        <f t="shared" si="0"/>
        <v>519958832.60347903</v>
      </c>
      <c r="F57" s="18">
        <v>42536</v>
      </c>
      <c r="I57" s="12">
        <f t="shared" si="13"/>
        <v>75</v>
      </c>
      <c r="J57" s="13">
        <f t="shared" si="2"/>
        <v>777934503.70581949</v>
      </c>
      <c r="K57" s="14">
        <v>42537</v>
      </c>
      <c r="N57" s="12">
        <f t="shared" si="14"/>
        <v>63</v>
      </c>
      <c r="O57" s="13">
        <f t="shared" si="3"/>
        <v>129747224.18417668</v>
      </c>
      <c r="P57" s="14">
        <v>42537</v>
      </c>
      <c r="S57" s="22">
        <f t="shared" si="15"/>
        <v>103</v>
      </c>
      <c r="T57" s="13">
        <f t="shared" si="4"/>
        <v>1305274793.1204369</v>
      </c>
      <c r="U57" s="14">
        <v>42580</v>
      </c>
      <c r="X57" s="22">
        <f t="shared" si="16"/>
        <v>16</v>
      </c>
      <c r="Y57" s="13">
        <f t="shared" si="5"/>
        <v>914463806.53482842</v>
      </c>
      <c r="Z57" s="14">
        <v>42591</v>
      </c>
      <c r="AC57" s="22">
        <f t="shared" si="17"/>
        <v>57</v>
      </c>
      <c r="AD57" s="13">
        <f t="shared" si="6"/>
        <v>523608889.58307236</v>
      </c>
      <c r="AE57" s="14">
        <v>42758</v>
      </c>
      <c r="AH57" s="22">
        <f t="shared" si="18"/>
        <v>5</v>
      </c>
      <c r="AI57" s="13">
        <f t="shared" si="7"/>
        <v>738187163.43258774</v>
      </c>
      <c r="AJ57" s="14">
        <v>42802</v>
      </c>
      <c r="AM57" s="22">
        <f t="shared" si="19"/>
        <v>63</v>
      </c>
      <c r="AN57" s="13">
        <f t="shared" si="8"/>
        <v>2683436590.035409</v>
      </c>
      <c r="AO57" s="14">
        <v>43189</v>
      </c>
      <c r="AR57" s="22">
        <f t="shared" si="20"/>
        <v>20</v>
      </c>
      <c r="AS57" s="13">
        <f t="shared" si="9"/>
        <v>412476446.08817005</v>
      </c>
      <c r="AT57" s="14">
        <v>43207</v>
      </c>
      <c r="AW57" s="22">
        <f t="shared" si="21"/>
        <v>39</v>
      </c>
      <c r="AX57" s="13">
        <f t="shared" si="10"/>
        <v>4701943048.4752836</v>
      </c>
      <c r="AY57" s="14">
        <v>43213</v>
      </c>
      <c r="BB57" s="22">
        <f t="shared" si="22"/>
        <v>24</v>
      </c>
      <c r="BC57" s="13">
        <f t="shared" si="11"/>
        <v>2614039084.4248924</v>
      </c>
      <c r="BD57" s="14">
        <v>43228</v>
      </c>
    </row>
    <row r="58" spans="1:56" x14ac:dyDescent="0.25">
      <c r="A58" s="15">
        <f t="shared" si="25"/>
        <v>10393082502.096504</v>
      </c>
      <c r="B58" s="20">
        <v>43190</v>
      </c>
      <c r="D58" s="12">
        <f t="shared" si="12"/>
        <v>15</v>
      </c>
      <c r="E58" s="17">
        <f t="shared" si="0"/>
        <v>520020044.79743296</v>
      </c>
      <c r="F58" s="18">
        <v>42537</v>
      </c>
      <c r="I58" s="12">
        <f t="shared" si="13"/>
        <v>74</v>
      </c>
      <c r="J58" s="13">
        <f t="shared" si="2"/>
        <v>778024842.72081685</v>
      </c>
      <c r="K58" s="14">
        <v>42538</v>
      </c>
      <c r="N58" s="12">
        <f t="shared" si="14"/>
        <v>62</v>
      </c>
      <c r="O58" s="13">
        <f t="shared" si="3"/>
        <v>129763019.7134116</v>
      </c>
      <c r="P58" s="14">
        <v>42538</v>
      </c>
      <c r="S58" s="22">
        <f t="shared" si="15"/>
        <v>102</v>
      </c>
      <c r="T58" s="13">
        <f t="shared" si="4"/>
        <v>1305427087.6002631</v>
      </c>
      <c r="U58" s="14">
        <v>42581</v>
      </c>
      <c r="X58" s="22">
        <f t="shared" si="16"/>
        <v>15</v>
      </c>
      <c r="Y58" s="13">
        <f t="shared" si="5"/>
        <v>914564262.23354328</v>
      </c>
      <c r="Z58" s="14">
        <v>42592</v>
      </c>
      <c r="AC58" s="22">
        <f t="shared" si="17"/>
        <v>56</v>
      </c>
      <c r="AD58" s="13">
        <f t="shared" si="6"/>
        <v>523671807.16702038</v>
      </c>
      <c r="AE58" s="14">
        <v>42759</v>
      </c>
      <c r="AH58" s="22">
        <f t="shared" si="18"/>
        <v>4</v>
      </c>
      <c r="AI58" s="13">
        <f t="shared" si="7"/>
        <v>738268081.40128994</v>
      </c>
      <c r="AJ58" s="14">
        <v>42803</v>
      </c>
      <c r="AM58" s="22">
        <f t="shared" si="19"/>
        <v>62</v>
      </c>
      <c r="AN58" s="13">
        <f t="shared" si="8"/>
        <v>2683671366.3783188</v>
      </c>
      <c r="AO58" s="14">
        <v>43190</v>
      </c>
      <c r="AR58" s="22">
        <f t="shared" si="20"/>
        <v>19</v>
      </c>
      <c r="AS58" s="13">
        <f t="shared" si="9"/>
        <v>412518588.56511277</v>
      </c>
      <c r="AT58" s="14">
        <v>43208</v>
      </c>
      <c r="AW58" s="22">
        <f t="shared" si="21"/>
        <v>38</v>
      </c>
      <c r="AX58" s="13">
        <f t="shared" si="10"/>
        <v>4702333951.6751051</v>
      </c>
      <c r="AY58" s="14">
        <v>43214</v>
      </c>
      <c r="BB58" s="22">
        <f t="shared" si="22"/>
        <v>23</v>
      </c>
      <c r="BC58" s="13">
        <f t="shared" si="11"/>
        <v>2614286294.5820427</v>
      </c>
      <c r="BD58" s="14">
        <v>43229</v>
      </c>
    </row>
    <row r="59" spans="1:56" x14ac:dyDescent="0.25">
      <c r="A59" s="15">
        <f t="shared" si="25"/>
        <v>10393994171.602129</v>
      </c>
      <c r="B59" s="20">
        <v>43191</v>
      </c>
      <c r="D59" s="12">
        <f t="shared" si="12"/>
        <v>14</v>
      </c>
      <c r="E59" s="17">
        <f t="shared" si="0"/>
        <v>520081271.40550435</v>
      </c>
      <c r="F59" s="18">
        <v>42538</v>
      </c>
      <c r="I59" s="12">
        <f t="shared" si="13"/>
        <v>73</v>
      </c>
      <c r="J59" s="13">
        <f t="shared" si="2"/>
        <v>778115202.7198056</v>
      </c>
      <c r="K59" s="14">
        <v>42539</v>
      </c>
      <c r="N59" s="12">
        <f t="shared" si="14"/>
        <v>61</v>
      </c>
      <c r="O59" s="13">
        <f t="shared" si="3"/>
        <v>129778819.08903509</v>
      </c>
      <c r="P59" s="14">
        <v>42539</v>
      </c>
      <c r="S59" s="22">
        <f t="shared" si="15"/>
        <v>101</v>
      </c>
      <c r="T59" s="13">
        <f t="shared" si="4"/>
        <v>1305579417.6225135</v>
      </c>
      <c r="U59" s="14">
        <v>42582</v>
      </c>
      <c r="X59" s="22">
        <f t="shared" si="16"/>
        <v>14</v>
      </c>
      <c r="Y59" s="13">
        <f t="shared" si="5"/>
        <v>914664740.00520635</v>
      </c>
      <c r="Z59" s="14">
        <v>42593</v>
      </c>
      <c r="AC59" s="22">
        <f t="shared" si="17"/>
        <v>55</v>
      </c>
      <c r="AD59" s="13">
        <f t="shared" si="6"/>
        <v>523734739.87331706</v>
      </c>
      <c r="AE59" s="14">
        <v>42760</v>
      </c>
      <c r="AH59" s="22">
        <f t="shared" si="18"/>
        <v>3</v>
      </c>
      <c r="AI59" s="13">
        <f t="shared" si="7"/>
        <v>738349017.11193001</v>
      </c>
      <c r="AJ59" s="14">
        <v>42804</v>
      </c>
      <c r="AM59" s="22">
        <f t="shared" si="19"/>
        <v>61</v>
      </c>
      <c r="AN59" s="13">
        <f t="shared" si="8"/>
        <v>2683906183.8064203</v>
      </c>
      <c r="AO59" s="14">
        <v>43191</v>
      </c>
      <c r="AR59" s="22">
        <f t="shared" si="20"/>
        <v>18</v>
      </c>
      <c r="AS59" s="13">
        <f t="shared" si="9"/>
        <v>412560739.65427983</v>
      </c>
      <c r="AT59" s="14">
        <v>43209</v>
      </c>
      <c r="AW59" s="22">
        <f t="shared" si="21"/>
        <v>37</v>
      </c>
      <c r="AX59" s="13">
        <f t="shared" si="10"/>
        <v>4702724919.8769979</v>
      </c>
      <c r="AY59" s="14">
        <v>43215</v>
      </c>
      <c r="BB59" s="22">
        <f t="shared" si="22"/>
        <v>22</v>
      </c>
      <c r="BC59" s="13">
        <f t="shared" si="11"/>
        <v>2614533551.5010347</v>
      </c>
      <c r="BD59" s="14">
        <v>43230</v>
      </c>
    </row>
    <row r="60" spans="1:56" x14ac:dyDescent="0.25">
      <c r="A60" s="15">
        <f t="shared" si="25"/>
        <v>10394906001.663155</v>
      </c>
      <c r="B60" s="20">
        <v>43192</v>
      </c>
      <c r="D60" s="12">
        <f t="shared" si="12"/>
        <v>13</v>
      </c>
      <c r="E60" s="17">
        <f t="shared" si="0"/>
        <v>520142512.43278515</v>
      </c>
      <c r="F60" s="18">
        <v>42539</v>
      </c>
      <c r="I60" s="12">
        <f t="shared" si="13"/>
        <v>72</v>
      </c>
      <c r="J60" s="13">
        <f t="shared" si="2"/>
        <v>778205583.71009767</v>
      </c>
      <c r="K60" s="14">
        <v>42540</v>
      </c>
      <c r="N60" s="12">
        <f t="shared" si="14"/>
        <v>60</v>
      </c>
      <c r="O60" s="13">
        <f t="shared" si="3"/>
        <v>129794622.31245233</v>
      </c>
      <c r="P60" s="14">
        <v>42540</v>
      </c>
      <c r="S60" s="22">
        <f t="shared" si="15"/>
        <v>100</v>
      </c>
      <c r="T60" s="13">
        <f t="shared" si="4"/>
        <v>1305731783.199631</v>
      </c>
      <c r="U60" s="14">
        <v>42583</v>
      </c>
      <c r="X60" s="22">
        <f t="shared" si="16"/>
        <v>13</v>
      </c>
      <c r="Y60" s="13">
        <f t="shared" si="5"/>
        <v>914765239.85709357</v>
      </c>
      <c r="Z60" s="14">
        <v>42594</v>
      </c>
      <c r="AC60" s="22">
        <f t="shared" si="17"/>
        <v>54</v>
      </c>
      <c r="AD60" s="13">
        <f t="shared" si="6"/>
        <v>523797687.70741516</v>
      </c>
      <c r="AE60" s="14">
        <v>42761</v>
      </c>
      <c r="AH60" s="22">
        <f t="shared" si="18"/>
        <v>2</v>
      </c>
      <c r="AI60" s="13">
        <f t="shared" si="7"/>
        <v>738429970.57034409</v>
      </c>
      <c r="AJ60" s="14">
        <v>42805</v>
      </c>
      <c r="AM60" s="22">
        <f t="shared" si="19"/>
        <v>60</v>
      </c>
      <c r="AN60" s="13">
        <f t="shared" si="8"/>
        <v>2684141042.3305006</v>
      </c>
      <c r="AO60" s="14">
        <v>43192</v>
      </c>
      <c r="AR60" s="22">
        <f t="shared" si="20"/>
        <v>17</v>
      </c>
      <c r="AS60" s="13">
        <f t="shared" si="9"/>
        <v>412602899.35831141</v>
      </c>
      <c r="AT60" s="14">
        <v>43210</v>
      </c>
      <c r="AW60" s="22">
        <f t="shared" si="21"/>
        <v>36</v>
      </c>
      <c r="AX60" s="13">
        <f t="shared" si="10"/>
        <v>4703115953.0971756</v>
      </c>
      <c r="AY60" s="14">
        <v>43216</v>
      </c>
      <c r="BB60" s="22">
        <f t="shared" si="22"/>
        <v>21</v>
      </c>
      <c r="BC60" s="13">
        <f t="shared" si="11"/>
        <v>2614780855.1951389</v>
      </c>
      <c r="BD60" s="14">
        <v>43231</v>
      </c>
    </row>
    <row r="61" spans="1:56" x14ac:dyDescent="0.25">
      <c r="A61" s="15">
        <f t="shared" si="25"/>
        <v>10395817992.322165</v>
      </c>
      <c r="B61" s="20">
        <v>43193</v>
      </c>
      <c r="D61" s="12">
        <f t="shared" si="12"/>
        <v>12</v>
      </c>
      <c r="E61" s="17">
        <f t="shared" si="0"/>
        <v>520203767.88436961</v>
      </c>
      <c r="F61" s="18">
        <v>42540</v>
      </c>
      <c r="I61" s="12">
        <f t="shared" si="13"/>
        <v>71</v>
      </c>
      <c r="J61" s="13">
        <f t="shared" si="2"/>
        <v>778295985.69900894</v>
      </c>
      <c r="K61" s="14">
        <v>42541</v>
      </c>
      <c r="N61" s="12">
        <f t="shared" si="14"/>
        <v>59</v>
      </c>
      <c r="O61" s="13">
        <f t="shared" si="3"/>
        <v>129810429.38506912</v>
      </c>
      <c r="P61" s="14">
        <v>42541</v>
      </c>
      <c r="S61" s="22">
        <f t="shared" si="15"/>
        <v>99</v>
      </c>
      <c r="T61" s="13">
        <f t="shared" si="4"/>
        <v>1305884184.3440664</v>
      </c>
      <c r="U61" s="14">
        <v>42584</v>
      </c>
      <c r="X61" s="22">
        <f t="shared" si="16"/>
        <v>12</v>
      </c>
      <c r="Y61" s="13">
        <f t="shared" si="5"/>
        <v>914865761.79648364</v>
      </c>
      <c r="Z61" s="14">
        <v>42595</v>
      </c>
      <c r="AC61" s="22">
        <f t="shared" si="17"/>
        <v>53</v>
      </c>
      <c r="AD61" s="13">
        <f t="shared" si="6"/>
        <v>523860650.67476988</v>
      </c>
      <c r="AE61" s="14">
        <v>42762</v>
      </c>
      <c r="AH61" s="22">
        <f t="shared" si="18"/>
        <v>1</v>
      </c>
      <c r="AI61" s="13">
        <f t="shared" si="7"/>
        <v>738510941.78237009</v>
      </c>
      <c r="AJ61" s="14">
        <v>42806</v>
      </c>
      <c r="AM61" s="22">
        <f t="shared" si="19"/>
        <v>59</v>
      </c>
      <c r="AN61" s="13">
        <f t="shared" si="8"/>
        <v>2684375941.9613476</v>
      </c>
      <c r="AO61" s="14">
        <v>43193</v>
      </c>
      <c r="AR61" s="22">
        <f t="shared" si="20"/>
        <v>16</v>
      </c>
      <c r="AS61" s="13">
        <f t="shared" si="9"/>
        <v>412645067.67984879</v>
      </c>
      <c r="AT61" s="14">
        <v>43211</v>
      </c>
      <c r="AW61" s="22">
        <f t="shared" si="21"/>
        <v>35</v>
      </c>
      <c r="AX61" s="13">
        <f t="shared" si="10"/>
        <v>4703507051.3518591</v>
      </c>
      <c r="AY61" s="14">
        <v>43217</v>
      </c>
      <c r="BB61" s="22">
        <f t="shared" si="22"/>
        <v>20</v>
      </c>
      <c r="BC61" s="13">
        <f t="shared" si="11"/>
        <v>2615028205.6776285</v>
      </c>
      <c r="BD61" s="14">
        <v>43232</v>
      </c>
    </row>
    <row r="62" spans="1:56" x14ac:dyDescent="0.25">
      <c r="A62" s="15">
        <f t="shared" si="25"/>
        <v>10396730143.621754</v>
      </c>
      <c r="B62" s="20">
        <v>43194</v>
      </c>
      <c r="D62" s="12">
        <f t="shared" si="12"/>
        <v>11</v>
      </c>
      <c r="E62" s="17">
        <f t="shared" si="0"/>
        <v>520265037.76535457</v>
      </c>
      <c r="F62" s="18">
        <v>42541</v>
      </c>
      <c r="I62" s="12">
        <f t="shared" si="13"/>
        <v>70</v>
      </c>
      <c r="J62" s="13">
        <f t="shared" si="2"/>
        <v>778386408.69385803</v>
      </c>
      <c r="K62" s="14">
        <v>42542</v>
      </c>
      <c r="N62" s="12">
        <f t="shared" si="14"/>
        <v>58</v>
      </c>
      <c r="O62" s="13">
        <f t="shared" si="3"/>
        <v>129826240.30829194</v>
      </c>
      <c r="P62" s="14">
        <v>42542</v>
      </c>
      <c r="S62" s="22">
        <f t="shared" si="15"/>
        <v>98</v>
      </c>
      <c r="T62" s="13">
        <f t="shared" si="4"/>
        <v>1306036621.0682743</v>
      </c>
      <c r="U62" s="14">
        <v>42585</v>
      </c>
      <c r="X62" s="22">
        <f t="shared" si="16"/>
        <v>11</v>
      </c>
      <c r="Y62" s="13">
        <f t="shared" si="5"/>
        <v>914966305.83065915</v>
      </c>
      <c r="Z62" s="14">
        <v>42596</v>
      </c>
      <c r="AC62" s="22">
        <f t="shared" si="17"/>
        <v>52</v>
      </c>
      <c r="AD62" s="13">
        <f t="shared" si="6"/>
        <v>523923628.78083909</v>
      </c>
      <c r="AE62" s="14">
        <v>42763</v>
      </c>
      <c r="AH62" s="22">
        <f t="shared" si="18"/>
        <v>0</v>
      </c>
      <c r="AI62" s="13">
        <f>($AK$2/(1+$AK$4*AH62/30))*0</f>
        <v>0</v>
      </c>
      <c r="AJ62" s="14">
        <v>42807</v>
      </c>
      <c r="AM62" s="22">
        <f t="shared" si="19"/>
        <v>58</v>
      </c>
      <c r="AN62" s="13">
        <f t="shared" si="8"/>
        <v>2684610882.7097554</v>
      </c>
      <c r="AO62" s="14">
        <v>43194</v>
      </c>
      <c r="AR62" s="22">
        <f t="shared" si="20"/>
        <v>15</v>
      </c>
      <c r="AS62" s="13">
        <f t="shared" si="9"/>
        <v>412687244.62153459</v>
      </c>
      <c r="AT62" s="14">
        <v>43212</v>
      </c>
      <c r="AW62" s="22">
        <f t="shared" si="21"/>
        <v>34</v>
      </c>
      <c r="AX62" s="13">
        <f t="shared" si="10"/>
        <v>4703898214.6572723</v>
      </c>
      <c r="AY62" s="14">
        <v>43218</v>
      </c>
      <c r="BB62" s="22">
        <f t="shared" si="22"/>
        <v>19</v>
      </c>
      <c r="BC62" s="13">
        <f t="shared" si="11"/>
        <v>2615275602.9617844</v>
      </c>
      <c r="BD62" s="14">
        <v>43233</v>
      </c>
    </row>
    <row r="63" spans="1:56" x14ac:dyDescent="0.25">
      <c r="A63" s="15">
        <f t="shared" si="25"/>
        <v>10397642455.604538</v>
      </c>
      <c r="B63" s="20">
        <v>43195</v>
      </c>
      <c r="D63" s="12">
        <f t="shared" si="12"/>
        <v>10</v>
      </c>
      <c r="E63" s="17">
        <f t="shared" si="0"/>
        <v>520326322.08083886</v>
      </c>
      <c r="F63" s="18">
        <v>42542</v>
      </c>
      <c r="I63" s="12">
        <f t="shared" si="13"/>
        <v>69</v>
      </c>
      <c r="J63" s="13">
        <f t="shared" si="2"/>
        <v>778476852.70196724</v>
      </c>
      <c r="K63" s="14">
        <v>42543</v>
      </c>
      <c r="N63" s="12">
        <f t="shared" si="14"/>
        <v>57</v>
      </c>
      <c r="O63" s="13">
        <f t="shared" si="3"/>
        <v>129842055.08352795</v>
      </c>
      <c r="P63" s="14">
        <v>42543</v>
      </c>
      <c r="S63" s="22">
        <f t="shared" si="15"/>
        <v>97</v>
      </c>
      <c r="T63" s="13">
        <f t="shared" si="4"/>
        <v>1306189093.384716</v>
      </c>
      <c r="U63" s="14">
        <v>42586</v>
      </c>
      <c r="X63" s="22">
        <f t="shared" si="16"/>
        <v>10</v>
      </c>
      <c r="Y63" s="13">
        <f t="shared" si="5"/>
        <v>915066871.96690559</v>
      </c>
      <c r="Z63" s="14">
        <v>42597</v>
      </c>
      <c r="AC63" s="22">
        <f t="shared" si="17"/>
        <v>51</v>
      </c>
      <c r="AD63" s="13">
        <f t="shared" si="6"/>
        <v>523986622.03108358</v>
      </c>
      <c r="AE63" s="14">
        <v>42764</v>
      </c>
      <c r="AH63" s="22"/>
      <c r="AI63" s="13"/>
      <c r="AJ63" s="14">
        <v>42764</v>
      </c>
      <c r="AM63" s="22">
        <f t="shared" si="19"/>
        <v>57</v>
      </c>
      <c r="AN63" s="13">
        <f t="shared" si="8"/>
        <v>2684845864.5865197</v>
      </c>
      <c r="AO63" s="14">
        <v>43195</v>
      </c>
      <c r="AR63" s="22">
        <f t="shared" si="20"/>
        <v>14</v>
      </c>
      <c r="AS63" s="13">
        <f t="shared" si="9"/>
        <v>412729430.18601209</v>
      </c>
      <c r="AT63" s="14">
        <v>43213</v>
      </c>
      <c r="AW63" s="22">
        <f t="shared" si="21"/>
        <v>33</v>
      </c>
      <c r="AX63" s="13">
        <f t="shared" si="10"/>
        <v>4704289443.0296478</v>
      </c>
      <c r="AY63" s="14">
        <v>43219</v>
      </c>
      <c r="BB63" s="22">
        <f t="shared" si="22"/>
        <v>18</v>
      </c>
      <c r="BC63" s="13">
        <f t="shared" si="11"/>
        <v>2615523047.0608892</v>
      </c>
      <c r="BD63" s="14">
        <v>43234</v>
      </c>
    </row>
    <row r="64" spans="1:56" x14ac:dyDescent="0.25">
      <c r="A64" s="15">
        <f t="shared" si="25"/>
        <v>10398554928.313148</v>
      </c>
      <c r="B64" s="20">
        <v>43196</v>
      </c>
      <c r="D64" s="12">
        <f t="shared" si="12"/>
        <v>9</v>
      </c>
      <c r="E64" s="17">
        <f t="shared" si="0"/>
        <v>520387620.83592433</v>
      </c>
      <c r="F64" s="18">
        <v>42543</v>
      </c>
      <c r="I64" s="12">
        <f t="shared" si="13"/>
        <v>68</v>
      </c>
      <c r="J64" s="13">
        <f t="shared" si="2"/>
        <v>778567317.73066258</v>
      </c>
      <c r="K64" s="14">
        <v>42544</v>
      </c>
      <c r="N64" s="12">
        <f t="shared" si="14"/>
        <v>56</v>
      </c>
      <c r="O64" s="13">
        <f t="shared" si="3"/>
        <v>129857873.71218508</v>
      </c>
      <c r="P64" s="14">
        <v>42544</v>
      </c>
      <c r="S64" s="22">
        <f t="shared" si="15"/>
        <v>96</v>
      </c>
      <c r="T64" s="13">
        <f t="shared" si="4"/>
        <v>1306341601.3058586</v>
      </c>
      <c r="U64" s="14">
        <v>42587</v>
      </c>
      <c r="X64" s="22">
        <f t="shared" si="16"/>
        <v>9</v>
      </c>
      <c r="Y64" s="13">
        <f t="shared" si="5"/>
        <v>915167460.2125113</v>
      </c>
      <c r="Z64" s="14">
        <v>42598</v>
      </c>
      <c r="AC64" s="22">
        <f t="shared" si="17"/>
        <v>50</v>
      </c>
      <c r="AD64" s="13">
        <f t="shared" si="6"/>
        <v>524049630.43096632</v>
      </c>
      <c r="AE64" s="14">
        <v>42765</v>
      </c>
      <c r="AH64" s="22"/>
      <c r="AI64" s="13"/>
      <c r="AJ64" s="14">
        <v>42765</v>
      </c>
      <c r="AM64" s="22">
        <f t="shared" si="19"/>
        <v>56</v>
      </c>
      <c r="AN64" s="13">
        <f t="shared" si="8"/>
        <v>2685080887.6024432</v>
      </c>
      <c r="AO64" s="14">
        <v>43196</v>
      </c>
      <c r="AR64" s="22">
        <f t="shared" si="20"/>
        <v>13</v>
      </c>
      <c r="AS64" s="13">
        <f t="shared" si="9"/>
        <v>412771624.37592602</v>
      </c>
      <c r="AT64" s="14">
        <v>43214</v>
      </c>
      <c r="AW64" s="22">
        <f t="shared" si="21"/>
        <v>32</v>
      </c>
      <c r="AX64" s="13">
        <f t="shared" si="10"/>
        <v>4704680736.4852228</v>
      </c>
      <c r="AY64" s="14">
        <v>43220</v>
      </c>
      <c r="BB64" s="22">
        <f t="shared" si="22"/>
        <v>17</v>
      </c>
      <c r="BC64" s="13">
        <f t="shared" si="11"/>
        <v>2615770537.988234</v>
      </c>
      <c r="BD64" s="14">
        <v>43235</v>
      </c>
    </row>
    <row r="65" spans="1:56" x14ac:dyDescent="0.25">
      <c r="A65" s="15">
        <f t="shared" si="25"/>
        <v>10399467561.790222</v>
      </c>
      <c r="B65" s="20">
        <v>43197</v>
      </c>
      <c r="D65" s="12">
        <f t="shared" si="12"/>
        <v>8</v>
      </c>
      <c r="E65" s="17">
        <f t="shared" si="0"/>
        <v>520448934.03571475</v>
      </c>
      <c r="F65" s="18">
        <v>42544</v>
      </c>
      <c r="I65" s="12">
        <f t="shared" si="13"/>
        <v>67</v>
      </c>
      <c r="J65" s="13">
        <f t="shared" si="2"/>
        <v>778657803.78727293</v>
      </c>
      <c r="K65" s="14">
        <v>42545</v>
      </c>
      <c r="N65" s="12">
        <f t="shared" si="14"/>
        <v>55</v>
      </c>
      <c r="O65" s="13">
        <f t="shared" si="3"/>
        <v>129873696.19567186</v>
      </c>
      <c r="P65" s="14">
        <v>42545</v>
      </c>
      <c r="S65" s="22">
        <f t="shared" si="15"/>
        <v>95</v>
      </c>
      <c r="T65" s="13">
        <f t="shared" si="4"/>
        <v>1306494144.8441751</v>
      </c>
      <c r="U65" s="14">
        <v>42588</v>
      </c>
      <c r="X65" s="22">
        <f t="shared" si="16"/>
        <v>8</v>
      </c>
      <c r="Y65" s="13">
        <f t="shared" si="5"/>
        <v>915268070.57476842</v>
      </c>
      <c r="Z65" s="14">
        <v>42599</v>
      </c>
      <c r="AC65" s="22">
        <f t="shared" si="17"/>
        <v>49</v>
      </c>
      <c r="AD65" s="13">
        <f t="shared" si="6"/>
        <v>524112653.98595321</v>
      </c>
      <c r="AE65" s="14">
        <v>42766</v>
      </c>
      <c r="AH65" s="22"/>
      <c r="AI65" s="13"/>
      <c r="AJ65" s="14">
        <v>42766</v>
      </c>
      <c r="AM65" s="22">
        <f t="shared" si="19"/>
        <v>55</v>
      </c>
      <c r="AN65" s="13">
        <f t="shared" si="8"/>
        <v>2685315951.7683291</v>
      </c>
      <c r="AO65" s="14">
        <v>43197</v>
      </c>
      <c r="AR65" s="22">
        <f t="shared" si="20"/>
        <v>12</v>
      </c>
      <c r="AS65" s="13">
        <f t="shared" si="9"/>
        <v>412813827.19392198</v>
      </c>
      <c r="AT65" s="14">
        <v>43215</v>
      </c>
      <c r="AW65" s="22">
        <f t="shared" si="21"/>
        <v>31</v>
      </c>
      <c r="AX65" s="13">
        <f t="shared" si="10"/>
        <v>4705072095.0402374</v>
      </c>
      <c r="AY65" s="14">
        <v>43221</v>
      </c>
      <c r="BB65" s="22">
        <f t="shared" si="22"/>
        <v>16</v>
      </c>
      <c r="BC65" s="13">
        <f t="shared" si="11"/>
        <v>2616018075.757112</v>
      </c>
      <c r="BD65" s="14">
        <v>43236</v>
      </c>
    </row>
    <row r="66" spans="1:56" x14ac:dyDescent="0.25">
      <c r="A66" s="15">
        <f t="shared" si="25"/>
        <v>10400380356.078419</v>
      </c>
      <c r="B66" s="20">
        <v>43198</v>
      </c>
      <c r="D66" s="12">
        <f t="shared" si="12"/>
        <v>7</v>
      </c>
      <c r="E66" s="17">
        <f t="shared" si="0"/>
        <v>520510261.68531632</v>
      </c>
      <c r="F66" s="18">
        <v>42545</v>
      </c>
      <c r="I66" s="12">
        <f t="shared" si="13"/>
        <v>66</v>
      </c>
      <c r="J66" s="13">
        <f t="shared" si="2"/>
        <v>778748310.87913072</v>
      </c>
      <c r="K66" s="14">
        <v>42546</v>
      </c>
      <c r="N66" s="12">
        <f t="shared" si="14"/>
        <v>54</v>
      </c>
      <c r="O66" s="13">
        <f t="shared" si="3"/>
        <v>129889522.53539753</v>
      </c>
      <c r="P66" s="14">
        <v>42546</v>
      </c>
      <c r="S66" s="22">
        <f t="shared" si="15"/>
        <v>94</v>
      </c>
      <c r="T66" s="13">
        <f t="shared" si="4"/>
        <v>1306646724.0121441</v>
      </c>
      <c r="U66" s="14">
        <v>42589</v>
      </c>
      <c r="X66" s="22">
        <f t="shared" si="16"/>
        <v>7</v>
      </c>
      <c r="Y66" s="13">
        <f t="shared" si="5"/>
        <v>915368703.06097221</v>
      </c>
      <c r="Z66" s="14">
        <v>42600</v>
      </c>
      <c r="AC66" s="22">
        <f t="shared" si="17"/>
        <v>48</v>
      </c>
      <c r="AD66" s="13">
        <f t="shared" si="6"/>
        <v>524175692.70151263</v>
      </c>
      <c r="AE66" s="14">
        <v>42767</v>
      </c>
      <c r="AH66" s="22"/>
      <c r="AI66" s="13"/>
      <c r="AJ66" s="14">
        <v>42767</v>
      </c>
      <c r="AM66" s="22">
        <f t="shared" si="19"/>
        <v>54</v>
      </c>
      <c r="AN66" s="13">
        <f t="shared" si="8"/>
        <v>2685551057.0949864</v>
      </c>
      <c r="AO66" s="14">
        <v>43198</v>
      </c>
      <c r="AR66" s="22">
        <f t="shared" si="20"/>
        <v>11</v>
      </c>
      <c r="AS66" s="13">
        <f t="shared" si="9"/>
        <v>412856038.64264661</v>
      </c>
      <c r="AT66" s="14">
        <v>43216</v>
      </c>
      <c r="AW66" s="22">
        <f t="shared" si="21"/>
        <v>30</v>
      </c>
      <c r="AX66" s="13">
        <f t="shared" si="10"/>
        <v>4705463518.7109394</v>
      </c>
      <c r="AY66" s="14">
        <v>43222</v>
      </c>
      <c r="BB66" s="22">
        <f t="shared" si="22"/>
        <v>15</v>
      </c>
      <c r="BC66" s="13">
        <f t="shared" si="11"/>
        <v>2616265660.3808241</v>
      </c>
      <c r="BD66" s="14">
        <v>43237</v>
      </c>
    </row>
    <row r="67" spans="1:56" x14ac:dyDescent="0.25">
      <c r="A67" s="15">
        <f t="shared" si="25"/>
        <v>10401293311.220417</v>
      </c>
      <c r="B67" s="20">
        <v>43199</v>
      </c>
      <c r="D67" s="12">
        <f t="shared" si="12"/>
        <v>6</v>
      </c>
      <c r="E67" s="17">
        <f t="shared" si="0"/>
        <v>520571603.78983796</v>
      </c>
      <c r="F67" s="18">
        <v>42546</v>
      </c>
      <c r="I67" s="12">
        <f t="shared" si="13"/>
        <v>65</v>
      </c>
      <c r="J67" s="13">
        <f t="shared" si="2"/>
        <v>778838839.01357222</v>
      </c>
      <c r="K67" s="14">
        <v>42547</v>
      </c>
      <c r="N67" s="12">
        <f t="shared" si="14"/>
        <v>53</v>
      </c>
      <c r="O67" s="13">
        <f t="shared" si="3"/>
        <v>129905352.73277201</v>
      </c>
      <c r="P67" s="14">
        <v>42547</v>
      </c>
      <c r="S67" s="22">
        <f t="shared" si="15"/>
        <v>93</v>
      </c>
      <c r="T67" s="13">
        <f t="shared" si="4"/>
        <v>1306799338.8222501</v>
      </c>
      <c r="U67" s="14">
        <v>42590</v>
      </c>
      <c r="X67" s="22">
        <f t="shared" si="16"/>
        <v>6</v>
      </c>
      <c r="Y67" s="13">
        <f t="shared" si="5"/>
        <v>915469357.67842042</v>
      </c>
      <c r="Z67" s="14">
        <v>42601</v>
      </c>
      <c r="AC67" s="22">
        <f t="shared" si="17"/>
        <v>47</v>
      </c>
      <c r="AD67" s="13">
        <f t="shared" si="6"/>
        <v>524238746.58311564</v>
      </c>
      <c r="AE67" s="14">
        <v>42768</v>
      </c>
      <c r="AH67" s="22"/>
      <c r="AI67" s="13"/>
      <c r="AJ67" s="14">
        <v>42768</v>
      </c>
      <c r="AM67" s="22">
        <f t="shared" si="19"/>
        <v>53</v>
      </c>
      <c r="AN67" s="13">
        <f t="shared" si="8"/>
        <v>2685786203.593226</v>
      </c>
      <c r="AO67" s="14">
        <v>43199</v>
      </c>
      <c r="AR67" s="22">
        <f t="shared" si="20"/>
        <v>10</v>
      </c>
      <c r="AS67" s="13">
        <f t="shared" si="9"/>
        <v>412898258.72474796</v>
      </c>
      <c r="AT67" s="14">
        <v>43217</v>
      </c>
      <c r="AW67" s="22">
        <f t="shared" si="21"/>
        <v>29</v>
      </c>
      <c r="AX67" s="13">
        <f t="shared" si="10"/>
        <v>4705855007.5135822</v>
      </c>
      <c r="AY67" s="14">
        <v>43223</v>
      </c>
      <c r="BB67" s="22">
        <f t="shared" si="22"/>
        <v>14</v>
      </c>
      <c r="BC67" s="13">
        <f t="shared" si="11"/>
        <v>2616513291.872673</v>
      </c>
      <c r="BD67" s="14">
        <v>43238</v>
      </c>
    </row>
    <row r="68" spans="1:56" x14ac:dyDescent="0.25">
      <c r="A68" s="15">
        <f t="shared" si="25"/>
        <v>10402206427.258904</v>
      </c>
      <c r="B68" s="20">
        <v>43200</v>
      </c>
      <c r="D68" s="12">
        <f t="shared" si="12"/>
        <v>5</v>
      </c>
      <c r="E68" s="17">
        <f t="shared" si="0"/>
        <v>520632960.35439062</v>
      </c>
      <c r="F68" s="18">
        <v>42547</v>
      </c>
      <c r="I68" s="12">
        <f t="shared" si="13"/>
        <v>64</v>
      </c>
      <c r="J68" s="13">
        <f t="shared" si="2"/>
        <v>778929388.1979363</v>
      </c>
      <c r="K68" s="14">
        <v>42548</v>
      </c>
      <c r="N68" s="12">
        <f t="shared" si="14"/>
        <v>52</v>
      </c>
      <c r="O68" s="13">
        <f t="shared" si="3"/>
        <v>129921186.78920589</v>
      </c>
      <c r="P68" s="14">
        <v>42548</v>
      </c>
      <c r="S68" s="22">
        <f t="shared" si="15"/>
        <v>92</v>
      </c>
      <c r="T68" s="13">
        <f t="shared" si="4"/>
        <v>1306951989.286983</v>
      </c>
      <c r="U68" s="14">
        <v>42591</v>
      </c>
      <c r="X68" s="22">
        <f t="shared" si="16"/>
        <v>5</v>
      </c>
      <c r="Y68" s="13">
        <f t="shared" si="5"/>
        <v>915570034.43441498</v>
      </c>
      <c r="Z68" s="14">
        <v>42602</v>
      </c>
      <c r="AC68" s="22">
        <f t="shared" si="17"/>
        <v>46</v>
      </c>
      <c r="AD68" s="13">
        <f t="shared" si="6"/>
        <v>524301815.63623601</v>
      </c>
      <c r="AE68" s="14">
        <v>42769</v>
      </c>
      <c r="AH68" s="22"/>
      <c r="AI68" s="13"/>
      <c r="AJ68" s="14">
        <v>42769</v>
      </c>
      <c r="AM68" s="22">
        <f t="shared" si="19"/>
        <v>52</v>
      </c>
      <c r="AN68" s="13">
        <f t="shared" si="8"/>
        <v>2686021391.2738647</v>
      </c>
      <c r="AO68" s="14">
        <v>43200</v>
      </c>
      <c r="AR68" s="22">
        <f t="shared" si="20"/>
        <v>9</v>
      </c>
      <c r="AS68" s="13">
        <f t="shared" si="9"/>
        <v>412940487.44287473</v>
      </c>
      <c r="AT68" s="14">
        <v>43218</v>
      </c>
      <c r="AW68" s="22">
        <f t="shared" si="21"/>
        <v>28</v>
      </c>
      <c r="AX68" s="13">
        <f t="shared" si="10"/>
        <v>4706246561.4644222</v>
      </c>
      <c r="AY68" s="14">
        <v>43224</v>
      </c>
      <c r="BB68" s="22">
        <f t="shared" si="22"/>
        <v>13</v>
      </c>
      <c r="BC68" s="13">
        <f t="shared" si="11"/>
        <v>2616760970.2459702</v>
      </c>
      <c r="BD68" s="14">
        <v>43239</v>
      </c>
    </row>
    <row r="69" spans="1:56" x14ac:dyDescent="0.25">
      <c r="A69" s="15">
        <f t="shared" si="25"/>
        <v>10403119704.236582</v>
      </c>
      <c r="B69" s="20">
        <v>43201</v>
      </c>
      <c r="D69" s="12">
        <f t="shared" si="12"/>
        <v>4</v>
      </c>
      <c r="E69" s="17">
        <f t="shared" si="0"/>
        <v>520694331.38408804</v>
      </c>
      <c r="F69" s="18">
        <v>42548</v>
      </c>
      <c r="I69" s="12">
        <f t="shared" si="13"/>
        <v>63</v>
      </c>
      <c r="J69" s="13">
        <f t="shared" si="2"/>
        <v>779019958.43956625</v>
      </c>
      <c r="K69" s="14">
        <v>42549</v>
      </c>
      <c r="N69" s="12">
        <f t="shared" si="14"/>
        <v>51</v>
      </c>
      <c r="O69" s="13">
        <f t="shared" si="3"/>
        <v>129937024.70611055</v>
      </c>
      <c r="P69" s="14">
        <v>42549</v>
      </c>
      <c r="S69" s="22">
        <f t="shared" si="15"/>
        <v>91</v>
      </c>
      <c r="T69" s="13">
        <f t="shared" si="4"/>
        <v>1307104675.4188397</v>
      </c>
      <c r="U69" s="14">
        <v>42592</v>
      </c>
      <c r="X69" s="22">
        <f t="shared" si="16"/>
        <v>4</v>
      </c>
      <c r="Y69" s="13">
        <f t="shared" si="5"/>
        <v>915670733.3362608</v>
      </c>
      <c r="Z69" s="14">
        <v>42603</v>
      </c>
      <c r="AC69" s="22">
        <f t="shared" si="17"/>
        <v>45</v>
      </c>
      <c r="AD69" s="13">
        <f t="shared" si="6"/>
        <v>524364899.86635</v>
      </c>
      <c r="AE69" s="14">
        <v>42770</v>
      </c>
      <c r="AH69" s="22"/>
      <c r="AI69" s="13"/>
      <c r="AJ69" s="14">
        <v>42770</v>
      </c>
      <c r="AM69" s="22">
        <f t="shared" si="19"/>
        <v>51</v>
      </c>
      <c r="AN69" s="13">
        <f t="shared" si="8"/>
        <v>2686256620.1477227</v>
      </c>
      <c r="AO69" s="14">
        <v>43201</v>
      </c>
      <c r="AR69" s="22">
        <f t="shared" si="20"/>
        <v>8</v>
      </c>
      <c r="AS69" s="13">
        <f t="shared" si="9"/>
        <v>412982724.79967707</v>
      </c>
      <c r="AT69" s="14">
        <v>43219</v>
      </c>
      <c r="AW69" s="22">
        <f t="shared" si="21"/>
        <v>27</v>
      </c>
      <c r="AX69" s="13">
        <f t="shared" si="10"/>
        <v>4706638180.5797253</v>
      </c>
      <c r="AY69" s="14">
        <v>43225</v>
      </c>
      <c r="BB69" s="22">
        <f t="shared" si="22"/>
        <v>12</v>
      </c>
      <c r="BC69" s="13">
        <f t="shared" si="11"/>
        <v>2617008695.5140285</v>
      </c>
      <c r="BD69" s="14">
        <v>43240</v>
      </c>
    </row>
    <row r="70" spans="1:56" x14ac:dyDescent="0.25">
      <c r="A70" s="15">
        <f t="shared" si="25"/>
        <v>10404033142.196173</v>
      </c>
      <c r="B70" s="20">
        <v>43202</v>
      </c>
      <c r="D70" s="12">
        <f t="shared" si="12"/>
        <v>3</v>
      </c>
      <c r="E70" s="17">
        <f t="shared" si="0"/>
        <v>520755716.88404596</v>
      </c>
      <c r="F70" s="18">
        <v>42549</v>
      </c>
      <c r="I70" s="12">
        <f t="shared" si="13"/>
        <v>62</v>
      </c>
      <c r="J70" s="13">
        <f t="shared" si="2"/>
        <v>779110549.74580789</v>
      </c>
      <c r="K70" s="14">
        <v>42550</v>
      </c>
      <c r="N70" s="12">
        <f t="shared" si="14"/>
        <v>50</v>
      </c>
      <c r="O70" s="13">
        <f t="shared" si="3"/>
        <v>129952866.48489796</v>
      </c>
      <c r="P70" s="14">
        <v>42550</v>
      </c>
      <c r="S70" s="22">
        <f t="shared" si="15"/>
        <v>90</v>
      </c>
      <c r="T70" s="13">
        <f t="shared" si="4"/>
        <v>1307257397.2303221</v>
      </c>
      <c r="U70" s="14">
        <v>42593</v>
      </c>
      <c r="X70" s="22">
        <f t="shared" si="16"/>
        <v>3</v>
      </c>
      <c r="Y70" s="13">
        <f t="shared" si="5"/>
        <v>915771454.39126515</v>
      </c>
      <c r="Z70" s="14">
        <v>42604</v>
      </c>
      <c r="AC70" s="22">
        <f t="shared" si="17"/>
        <v>44</v>
      </c>
      <c r="AD70" s="13">
        <f t="shared" si="6"/>
        <v>524427999.27893656</v>
      </c>
      <c r="AE70" s="14">
        <v>42771</v>
      </c>
      <c r="AH70" s="22"/>
      <c r="AI70" s="13"/>
      <c r="AJ70" s="14">
        <v>42771</v>
      </c>
      <c r="AM70" s="22">
        <f t="shared" si="19"/>
        <v>50</v>
      </c>
      <c r="AN70" s="13">
        <f t="shared" si="8"/>
        <v>2686491890.2256222</v>
      </c>
      <c r="AO70" s="14">
        <v>43202</v>
      </c>
      <c r="AR70" s="22">
        <f t="shared" si="20"/>
        <v>7</v>
      </c>
      <c r="AS70" s="13">
        <f t="shared" si="9"/>
        <v>413024970.79780596</v>
      </c>
      <c r="AT70" s="14">
        <v>43220</v>
      </c>
      <c r="AW70" s="22">
        <f t="shared" si="21"/>
        <v>26</v>
      </c>
      <c r="AX70" s="13">
        <f t="shared" si="10"/>
        <v>4707029864.8757582</v>
      </c>
      <c r="AY70" s="14">
        <v>43226</v>
      </c>
      <c r="BB70" s="22">
        <f t="shared" si="22"/>
        <v>11</v>
      </c>
      <c r="BC70" s="13">
        <f t="shared" si="11"/>
        <v>2617256467.6901693</v>
      </c>
      <c r="BD70" s="14">
        <v>43241</v>
      </c>
    </row>
    <row r="71" spans="1:56" x14ac:dyDescent="0.25">
      <c r="A71" s="15">
        <f t="shared" si="25"/>
        <v>10404946741.18041</v>
      </c>
      <c r="B71" s="20">
        <v>43203</v>
      </c>
      <c r="D71" s="12">
        <f t="shared" si="12"/>
        <v>2</v>
      </c>
      <c r="E71" s="17">
        <f t="shared" si="0"/>
        <v>520817116.85938305</v>
      </c>
      <c r="F71" s="18">
        <v>42550</v>
      </c>
      <c r="I71" s="12">
        <f t="shared" si="13"/>
        <v>61</v>
      </c>
      <c r="J71" s="13">
        <f t="shared" si="2"/>
        <v>779201162.1240108</v>
      </c>
      <c r="K71" s="14">
        <v>42551</v>
      </c>
      <c r="N71" s="12">
        <f t="shared" si="14"/>
        <v>49</v>
      </c>
      <c r="O71" s="13">
        <f t="shared" si="3"/>
        <v>129968712.12698077</v>
      </c>
      <c r="P71" s="14">
        <v>42551</v>
      </c>
      <c r="S71" s="22">
        <f t="shared" si="15"/>
        <v>89</v>
      </c>
      <c r="T71" s="13">
        <f t="shared" si="4"/>
        <v>1307410154.7339375</v>
      </c>
      <c r="U71" s="14">
        <v>42594</v>
      </c>
      <c r="X71" s="22">
        <f t="shared" si="16"/>
        <v>2</v>
      </c>
      <c r="Y71" s="13">
        <f t="shared" si="5"/>
        <v>915872197.60673964</v>
      </c>
      <c r="Z71" s="14">
        <v>42605</v>
      </c>
      <c r="AC71" s="22">
        <f t="shared" si="17"/>
        <v>43</v>
      </c>
      <c r="AD71" s="13">
        <f t="shared" si="6"/>
        <v>524491113.87947738</v>
      </c>
      <c r="AE71" s="14">
        <v>42772</v>
      </c>
      <c r="AH71" s="22"/>
      <c r="AI71" s="13"/>
      <c r="AJ71" s="14">
        <v>42772</v>
      </c>
      <c r="AM71" s="22">
        <f t="shared" si="19"/>
        <v>49</v>
      </c>
      <c r="AN71" s="13">
        <f t="shared" si="8"/>
        <v>2686727201.5183916</v>
      </c>
      <c r="AO71" s="14">
        <v>43203</v>
      </c>
      <c r="AR71" s="22">
        <f t="shared" si="20"/>
        <v>6</v>
      </c>
      <c r="AS71" s="13">
        <f t="shared" si="9"/>
        <v>413067225.43991351</v>
      </c>
      <c r="AT71" s="14">
        <v>43221</v>
      </c>
      <c r="AW71" s="22">
        <f t="shared" si="21"/>
        <v>25</v>
      </c>
      <c r="AX71" s="13">
        <f t="shared" si="10"/>
        <v>4707421614.3687963</v>
      </c>
      <c r="AY71" s="14">
        <v>43227</v>
      </c>
      <c r="BB71" s="22">
        <f t="shared" si="22"/>
        <v>10</v>
      </c>
      <c r="BC71" s="13">
        <f t="shared" si="11"/>
        <v>2617504286.7877159</v>
      </c>
      <c r="BD71" s="14">
        <v>43242</v>
      </c>
    </row>
    <row r="72" spans="1:56" x14ac:dyDescent="0.25">
      <c r="A72" s="15">
        <f t="shared" si="25"/>
        <v>10405860501.232044</v>
      </c>
      <c r="B72" s="20">
        <v>43204</v>
      </c>
      <c r="D72" s="12">
        <f t="shared" si="12"/>
        <v>1</v>
      </c>
      <c r="E72" s="17">
        <f t="shared" ref="E72:E73" si="26">($G$2/(1+$G$4*D72/30))</f>
        <v>520878531.31521976</v>
      </c>
      <c r="F72" s="18">
        <v>42551</v>
      </c>
      <c r="I72" s="12">
        <f t="shared" si="13"/>
        <v>60</v>
      </c>
      <c r="J72" s="13">
        <f t="shared" si="2"/>
        <v>779291795.58152819</v>
      </c>
      <c r="K72" s="14">
        <v>42552</v>
      </c>
      <c r="N72" s="12">
        <f t="shared" si="14"/>
        <v>48</v>
      </c>
      <c r="O72" s="13">
        <f t="shared" si="3"/>
        <v>129984561.63377236</v>
      </c>
      <c r="P72" s="14">
        <v>42552</v>
      </c>
      <c r="S72" s="22">
        <f t="shared" si="15"/>
        <v>88</v>
      </c>
      <c r="T72" s="13">
        <f t="shared" si="4"/>
        <v>1307562947.9421999</v>
      </c>
      <c r="U72" s="14">
        <v>42595</v>
      </c>
      <c r="X72" s="22">
        <f t="shared" si="16"/>
        <v>1</v>
      </c>
      <c r="Y72" s="13">
        <f t="shared" si="5"/>
        <v>915972962.98999882</v>
      </c>
      <c r="Z72" s="14">
        <v>42606</v>
      </c>
      <c r="AC72" s="22">
        <f t="shared" si="17"/>
        <v>42</v>
      </c>
      <c r="AD72" s="13">
        <f t="shared" si="6"/>
        <v>524554243.67345661</v>
      </c>
      <c r="AE72" s="14">
        <v>42773</v>
      </c>
      <c r="AH72" s="22"/>
      <c r="AI72" s="13"/>
      <c r="AJ72" s="14">
        <v>42773</v>
      </c>
      <c r="AM72" s="22">
        <f t="shared" si="19"/>
        <v>48</v>
      </c>
      <c r="AN72" s="13">
        <f t="shared" si="8"/>
        <v>2686962554.0368609</v>
      </c>
      <c r="AO72" s="14">
        <v>43204</v>
      </c>
      <c r="AR72" s="22">
        <f t="shared" si="20"/>
        <v>5</v>
      </c>
      <c r="AS72" s="13">
        <f t="shared" si="9"/>
        <v>413109488.72865313</v>
      </c>
      <c r="AT72" s="14">
        <v>43222</v>
      </c>
      <c r="AW72" s="22">
        <f t="shared" si="21"/>
        <v>24</v>
      </c>
      <c r="AX72" s="13">
        <f t="shared" si="10"/>
        <v>4707813429.0751171</v>
      </c>
      <c r="AY72" s="14">
        <v>43228</v>
      </c>
      <c r="BB72" s="22">
        <f t="shared" si="22"/>
        <v>9</v>
      </c>
      <c r="BC72" s="13">
        <f t="shared" si="11"/>
        <v>2617752152.8199983</v>
      </c>
      <c r="BD72" s="14">
        <v>43243</v>
      </c>
    </row>
    <row r="73" spans="1:56" x14ac:dyDescent="0.25">
      <c r="A73" s="15">
        <f t="shared" si="25"/>
        <v>10406774422.393839</v>
      </c>
      <c r="B73" s="20">
        <v>43205</v>
      </c>
      <c r="D73" s="12">
        <f t="shared" si="12"/>
        <v>0</v>
      </c>
      <c r="E73" s="17">
        <f t="shared" si="26"/>
        <v>520939960.25667959</v>
      </c>
      <c r="F73" s="18">
        <v>42552</v>
      </c>
      <c r="I73" s="12">
        <f t="shared" si="13"/>
        <v>59</v>
      </c>
      <c r="J73" s="13">
        <f t="shared" ref="J73:J132" si="27">($L$2/(1+$L$4*I73/30))</f>
        <v>779382450.12571645</v>
      </c>
      <c r="K73" s="14">
        <v>42553</v>
      </c>
      <c r="N73" s="12">
        <f t="shared" si="14"/>
        <v>47</v>
      </c>
      <c r="O73" s="13">
        <f t="shared" ref="O73:O120" si="28">($Q$2/(1+$Q$4*N73/30))</f>
        <v>130000415.00668676</v>
      </c>
      <c r="P73" s="14">
        <v>42553</v>
      </c>
      <c r="S73" s="22">
        <f t="shared" si="15"/>
        <v>87</v>
      </c>
      <c r="T73" s="13">
        <f t="shared" ref="T73:T136" si="29">($V$2/(1+$V$4*S73/30))</f>
        <v>1307715776.8676291</v>
      </c>
      <c r="U73" s="14">
        <v>42596</v>
      </c>
      <c r="X73" s="22">
        <f t="shared" si="16"/>
        <v>0</v>
      </c>
      <c r="Y73" s="13">
        <f t="shared" ref="Y73" si="30">($AA$2/(1+$AA$4*X73/30))</f>
        <v>916073750.54835975</v>
      </c>
      <c r="Z73" s="14">
        <v>42607</v>
      </c>
      <c r="AC73" s="22">
        <f t="shared" si="17"/>
        <v>41</v>
      </c>
      <c r="AD73" s="13">
        <f t="shared" ref="AD73:AD114" si="31">($AF$2/(1+$AF$4*AC73/30))</f>
        <v>524617388.66636121</v>
      </c>
      <c r="AE73" s="14">
        <v>42774</v>
      </c>
      <c r="AH73" s="22"/>
      <c r="AI73" s="13"/>
      <c r="AJ73" s="14">
        <v>42774</v>
      </c>
      <c r="AM73" s="22">
        <f t="shared" si="19"/>
        <v>47</v>
      </c>
      <c r="AN73" s="13">
        <f t="shared" ref="AN73:AN120" si="32">($AP$2/(1+$AP$4*AM73/30))</f>
        <v>2687197947.7918663</v>
      </c>
      <c r="AO73" s="14">
        <v>43205</v>
      </c>
      <c r="AR73" s="22">
        <f t="shared" si="20"/>
        <v>4</v>
      </c>
      <c r="AS73" s="13">
        <f t="shared" ref="AS73:AS76" si="33">($AU$2/(1+$AU$4*AR73/30))</f>
        <v>413151760.66667902</v>
      </c>
      <c r="AT73" s="14">
        <v>43223</v>
      </c>
      <c r="AW73" s="22">
        <f t="shared" si="21"/>
        <v>23</v>
      </c>
      <c r="AX73" s="13">
        <f t="shared" ref="AX73:AX96" si="34">($AZ$2/(1+$AZ$4*AW73/30))</f>
        <v>4708205309.0110092</v>
      </c>
      <c r="AY73" s="14">
        <v>43229</v>
      </c>
      <c r="BB73" s="22">
        <f t="shared" si="22"/>
        <v>8</v>
      </c>
      <c r="BC73" s="13">
        <f t="shared" ref="BC73:BC81" si="35">($BE$2/(1+$BE$4*BB73/30))</f>
        <v>2618000065.8003526</v>
      </c>
      <c r="BD73" s="14">
        <v>43244</v>
      </c>
    </row>
    <row r="74" spans="1:56" x14ac:dyDescent="0.25">
      <c r="A74" s="15">
        <f t="shared" si="25"/>
        <v>10407688504.708576</v>
      </c>
      <c r="B74" s="20">
        <v>43206</v>
      </c>
      <c r="D74" s="12"/>
      <c r="E74" s="17"/>
      <c r="I74" s="12">
        <f t="shared" ref="I74:I132" si="36">+I73-1</f>
        <v>58</v>
      </c>
      <c r="J74" s="13">
        <f t="shared" si="27"/>
        <v>779473125.76393509</v>
      </c>
      <c r="K74" s="14">
        <v>42554</v>
      </c>
      <c r="N74" s="12">
        <f t="shared" ref="N74:N120" si="37">+N73-1</f>
        <v>46</v>
      </c>
      <c r="O74" s="13">
        <f t="shared" si="28"/>
        <v>130016272.2471388</v>
      </c>
      <c r="P74" s="14">
        <v>42554</v>
      </c>
      <c r="S74" s="22">
        <f t="shared" ref="S74:S137" si="38">+S73-1</f>
        <v>86</v>
      </c>
      <c r="T74" s="13">
        <f t="shared" si="29"/>
        <v>1307868641.5227504</v>
      </c>
      <c r="U74" s="14">
        <v>42597</v>
      </c>
      <c r="X74" s="22"/>
      <c r="Y74" s="13"/>
      <c r="Z74" s="14"/>
      <c r="AC74" s="22">
        <f t="shared" si="17"/>
        <v>40</v>
      </c>
      <c r="AD74" s="13">
        <f t="shared" si="31"/>
        <v>524680548.86368066</v>
      </c>
      <c r="AE74" s="14">
        <v>42775</v>
      </c>
      <c r="AH74" s="22"/>
      <c r="AI74" s="13"/>
      <c r="AJ74" s="14">
        <v>42775</v>
      </c>
      <c r="AM74" s="22">
        <f t="shared" ref="AM74:AM120" si="39">+AM73-1</f>
        <v>46</v>
      </c>
      <c r="AN74" s="13">
        <f t="shared" si="32"/>
        <v>2687433382.7942448</v>
      </c>
      <c r="AO74" s="14">
        <v>43206</v>
      </c>
      <c r="AR74" s="22">
        <f t="shared" ref="AR74:AR77" si="40">+AR73-1</f>
        <v>3</v>
      </c>
      <c r="AS74" s="13">
        <f t="shared" si="33"/>
        <v>413194041.25664663</v>
      </c>
      <c r="AT74" s="14">
        <v>43224</v>
      </c>
      <c r="AW74" s="22">
        <f t="shared" ref="AW74:AW96" si="41">+AW73-1</f>
        <v>22</v>
      </c>
      <c r="AX74" s="13">
        <f t="shared" si="34"/>
        <v>4708597254.1927614</v>
      </c>
      <c r="AY74" s="14">
        <v>43230</v>
      </c>
      <c r="BB74" s="22">
        <f t="shared" ref="BB74:BB81" si="42">+BB73-1</f>
        <v>7</v>
      </c>
      <c r="BC74" s="13">
        <f t="shared" si="35"/>
        <v>2618248025.7421165</v>
      </c>
      <c r="BD74" s="14">
        <v>43245</v>
      </c>
    </row>
    <row r="75" spans="1:56" x14ac:dyDescent="0.25">
      <c r="A75" s="15">
        <f t="shared" si="25"/>
        <v>10408602748.219049</v>
      </c>
      <c r="B75" s="20">
        <v>43207</v>
      </c>
      <c r="D75" s="12"/>
      <c r="E75" s="17"/>
      <c r="I75" s="12">
        <f t="shared" si="36"/>
        <v>57</v>
      </c>
      <c r="J75" s="13">
        <f t="shared" si="27"/>
        <v>779563822.50354791</v>
      </c>
      <c r="K75" s="14">
        <v>42555</v>
      </c>
      <c r="N75" s="12">
        <f t="shared" si="37"/>
        <v>45</v>
      </c>
      <c r="O75" s="13">
        <f t="shared" si="28"/>
        <v>130032133.35654387</v>
      </c>
      <c r="P75" s="14">
        <v>42555</v>
      </c>
      <c r="S75" s="22">
        <f t="shared" si="38"/>
        <v>85</v>
      </c>
      <c r="T75" s="13">
        <f t="shared" si="29"/>
        <v>1308021541.920095</v>
      </c>
      <c r="U75" s="14">
        <v>42598</v>
      </c>
      <c r="X75" s="22"/>
      <c r="Y75" s="13"/>
      <c r="Z75" s="14"/>
      <c r="AC75" s="22">
        <f t="shared" ref="AC75:AC114" si="43">+AC74-1</f>
        <v>39</v>
      </c>
      <c r="AD75" s="13">
        <f t="shared" si="31"/>
        <v>524743724.27090716</v>
      </c>
      <c r="AE75" s="14">
        <v>42776</v>
      </c>
      <c r="AH75" s="22"/>
      <c r="AI75" s="13"/>
      <c r="AJ75" s="14">
        <v>42776</v>
      </c>
      <c r="AM75" s="22">
        <f t="shared" si="39"/>
        <v>45</v>
      </c>
      <c r="AN75" s="13">
        <f t="shared" si="32"/>
        <v>2687668859.0548406</v>
      </c>
      <c r="AO75" s="14">
        <v>43207</v>
      </c>
      <c r="AR75" s="22">
        <f t="shared" si="40"/>
        <v>2</v>
      </c>
      <c r="AS75" s="13">
        <f t="shared" si="33"/>
        <v>413236330.50121248</v>
      </c>
      <c r="AT75" s="14">
        <v>43225</v>
      </c>
      <c r="AW75" s="22">
        <f t="shared" si="41"/>
        <v>21</v>
      </c>
      <c r="AX75" s="13">
        <f t="shared" si="34"/>
        <v>4708989264.6366692</v>
      </c>
      <c r="AY75" s="14">
        <v>43231</v>
      </c>
      <c r="BB75" s="22">
        <f t="shared" si="42"/>
        <v>6</v>
      </c>
      <c r="BC75" s="13">
        <f t="shared" si="35"/>
        <v>2618496032.6586366</v>
      </c>
      <c r="BD75" s="14">
        <v>43246</v>
      </c>
    </row>
    <row r="76" spans="1:56" x14ac:dyDescent="0.25">
      <c r="A76" s="15">
        <f t="shared" si="25"/>
        <v>10409517152.968067</v>
      </c>
      <c r="B76" s="20">
        <v>43208</v>
      </c>
      <c r="D76" s="12"/>
      <c r="E76" s="12"/>
      <c r="I76" s="12">
        <f t="shared" si="36"/>
        <v>56</v>
      </c>
      <c r="J76" s="13">
        <f t="shared" si="27"/>
        <v>779654540.35192144</v>
      </c>
      <c r="K76" s="14">
        <v>42556</v>
      </c>
      <c r="N76" s="12">
        <f t="shared" si="37"/>
        <v>44</v>
      </c>
      <c r="O76" s="13">
        <f t="shared" si="28"/>
        <v>130047998.33631812</v>
      </c>
      <c r="P76" s="14">
        <v>42556</v>
      </c>
      <c r="S76" s="22">
        <f t="shared" si="38"/>
        <v>84</v>
      </c>
      <c r="T76" s="13">
        <f t="shared" si="29"/>
        <v>1308174478.0721996</v>
      </c>
      <c r="U76" s="14">
        <v>42599</v>
      </c>
      <c r="X76" s="22"/>
      <c r="Y76" s="13"/>
      <c r="Z76" s="14"/>
      <c r="AC76" s="22">
        <f t="shared" si="43"/>
        <v>38</v>
      </c>
      <c r="AD76" s="13">
        <f t="shared" si="31"/>
        <v>524806914.89353549</v>
      </c>
      <c r="AE76" s="14">
        <v>42777</v>
      </c>
      <c r="AH76" s="22"/>
      <c r="AI76" s="13"/>
      <c r="AJ76" s="14">
        <v>42777</v>
      </c>
      <c r="AM76" s="22">
        <f t="shared" si="39"/>
        <v>44</v>
      </c>
      <c r="AN76" s="13">
        <f t="shared" si="32"/>
        <v>2687904376.5844979</v>
      </c>
      <c r="AO76" s="14">
        <v>43208</v>
      </c>
      <c r="AR76" s="22">
        <f t="shared" si="40"/>
        <v>1</v>
      </c>
      <c r="AS76" s="13">
        <f t="shared" si="33"/>
        <v>413278628.40303409</v>
      </c>
      <c r="AT76" s="14">
        <v>43226</v>
      </c>
      <c r="AW76" s="22">
        <f t="shared" si="41"/>
        <v>20</v>
      </c>
      <c r="AX76" s="13">
        <f t="shared" si="34"/>
        <v>4709381340.3590355</v>
      </c>
      <c r="AY76" s="14">
        <v>43232</v>
      </c>
      <c r="BB76" s="22">
        <f t="shared" si="42"/>
        <v>5</v>
      </c>
      <c r="BC76" s="13">
        <f t="shared" si="35"/>
        <v>2618744086.563262</v>
      </c>
      <c r="BD76" s="14">
        <v>43247</v>
      </c>
    </row>
    <row r="77" spans="1:56" x14ac:dyDescent="0.25">
      <c r="A77" s="15">
        <f t="shared" si="25"/>
        <v>10410431718.998463</v>
      </c>
      <c r="B77" s="20">
        <v>43209</v>
      </c>
      <c r="D77" s="12"/>
      <c r="E77" s="12"/>
      <c r="G77" s="15"/>
      <c r="I77" s="12">
        <f t="shared" si="36"/>
        <v>55</v>
      </c>
      <c r="J77" s="13">
        <f t="shared" si="27"/>
        <v>779745279.31642556</v>
      </c>
      <c r="K77" s="14">
        <v>42557</v>
      </c>
      <c r="N77" s="12">
        <f t="shared" si="37"/>
        <v>43</v>
      </c>
      <c r="O77" s="13">
        <f t="shared" si="28"/>
        <v>130063867.18787831</v>
      </c>
      <c r="P77" s="14">
        <v>42557</v>
      </c>
      <c r="S77" s="22">
        <f t="shared" si="38"/>
        <v>83</v>
      </c>
      <c r="T77" s="13">
        <f t="shared" si="29"/>
        <v>1308327449.9916079</v>
      </c>
      <c r="U77" s="14">
        <v>42600</v>
      </c>
      <c r="X77" s="22"/>
      <c r="Y77" s="13"/>
      <c r="Z77" s="14"/>
      <c r="AC77" s="22">
        <f t="shared" si="43"/>
        <v>37</v>
      </c>
      <c r="AD77" s="13">
        <f t="shared" si="31"/>
        <v>524870120.73706311</v>
      </c>
      <c r="AE77" s="14">
        <v>42778</v>
      </c>
      <c r="AH77" s="22"/>
      <c r="AI77" s="13"/>
      <c r="AJ77" s="14">
        <v>42778</v>
      </c>
      <c r="AM77" s="22">
        <f t="shared" si="39"/>
        <v>43</v>
      </c>
      <c r="AN77" s="13">
        <f t="shared" si="32"/>
        <v>2688139935.3940687</v>
      </c>
      <c r="AO77" s="14">
        <v>43209</v>
      </c>
      <c r="AR77" s="22">
        <f t="shared" si="40"/>
        <v>0</v>
      </c>
      <c r="AS77" s="13">
        <f>($AU$2/(1+$AU$4*AR77/30))*0</f>
        <v>0</v>
      </c>
      <c r="AT77" s="14">
        <v>43227</v>
      </c>
      <c r="AW77" s="22">
        <f t="shared" si="41"/>
        <v>19</v>
      </c>
      <c r="AX77" s="13">
        <f t="shared" si="34"/>
        <v>4709773481.3761663</v>
      </c>
      <c r="AY77" s="14">
        <v>43233</v>
      </c>
      <c r="BB77" s="22">
        <f t="shared" si="42"/>
        <v>4</v>
      </c>
      <c r="BC77" s="13">
        <f t="shared" si="35"/>
        <v>2618992187.469348</v>
      </c>
      <c r="BD77" s="14">
        <v>43248</v>
      </c>
    </row>
    <row r="78" spans="1:56" x14ac:dyDescent="0.25">
      <c r="A78" s="15">
        <f t="shared" si="25"/>
        <v>10411346446.353069</v>
      </c>
      <c r="B78" s="20">
        <v>43210</v>
      </c>
      <c r="D78" s="12"/>
      <c r="E78" s="12"/>
      <c r="G78" s="15"/>
      <c r="I78" s="12">
        <f t="shared" si="36"/>
        <v>54</v>
      </c>
      <c r="J78" s="13">
        <f t="shared" si="27"/>
        <v>779836039.4044342</v>
      </c>
      <c r="K78" s="14">
        <v>42558</v>
      </c>
      <c r="N78" s="12">
        <f t="shared" si="37"/>
        <v>42</v>
      </c>
      <c r="O78" s="13">
        <f t="shared" si="28"/>
        <v>130079739.91264205</v>
      </c>
      <c r="P78" s="14">
        <v>42558</v>
      </c>
      <c r="S78" s="22">
        <f t="shared" si="38"/>
        <v>82</v>
      </c>
      <c r="T78" s="13">
        <f t="shared" si="29"/>
        <v>1308480457.6908684</v>
      </c>
      <c r="U78" s="14">
        <v>42601</v>
      </c>
      <c r="X78" s="22"/>
      <c r="Y78" s="13"/>
      <c r="Z78" s="14"/>
      <c r="AC78" s="22">
        <f t="shared" si="43"/>
        <v>36</v>
      </c>
      <c r="AD78" s="13">
        <f t="shared" si="31"/>
        <v>524933341.80699021</v>
      </c>
      <c r="AE78" s="14">
        <v>42779</v>
      </c>
      <c r="AH78" s="22"/>
      <c r="AI78" s="13"/>
      <c r="AJ78" s="14">
        <v>42779</v>
      </c>
      <c r="AM78" s="22">
        <f t="shared" si="39"/>
        <v>42</v>
      </c>
      <c r="AN78" s="13">
        <f t="shared" si="32"/>
        <v>2688375535.4944053</v>
      </c>
      <c r="AO78" s="14">
        <v>43210</v>
      </c>
      <c r="AR78" s="22"/>
      <c r="AS78" s="13"/>
      <c r="AT78" s="14"/>
      <c r="AW78" s="22">
        <f t="shared" si="41"/>
        <v>18</v>
      </c>
      <c r="AX78" s="13">
        <f t="shared" si="34"/>
        <v>4710165687.7043724</v>
      </c>
      <c r="AY78" s="14">
        <v>43234</v>
      </c>
      <c r="BB78" s="22">
        <f t="shared" si="42"/>
        <v>3</v>
      </c>
      <c r="BC78" s="13">
        <f t="shared" si="35"/>
        <v>2619240335.3902545</v>
      </c>
      <c r="BD78" s="14">
        <v>43249</v>
      </c>
    </row>
    <row r="79" spans="1:56" x14ac:dyDescent="0.25">
      <c r="A79" s="15">
        <f t="shared" si="25"/>
        <v>10412261335.074749</v>
      </c>
      <c r="B79" s="20">
        <v>43211</v>
      </c>
      <c r="D79" s="12"/>
      <c r="E79" s="12"/>
      <c r="I79" s="12">
        <f t="shared" si="36"/>
        <v>53</v>
      </c>
      <c r="J79" s="13">
        <f t="shared" si="27"/>
        <v>779926820.62332428</v>
      </c>
      <c r="K79" s="14">
        <v>42559</v>
      </c>
      <c r="N79" s="12">
        <f t="shared" si="37"/>
        <v>41</v>
      </c>
      <c r="O79" s="13">
        <f t="shared" si="28"/>
        <v>130095616.5120275</v>
      </c>
      <c r="P79" s="14">
        <v>42559</v>
      </c>
      <c r="S79" s="22">
        <f t="shared" si="38"/>
        <v>81</v>
      </c>
      <c r="T79" s="13">
        <f t="shared" si="29"/>
        <v>1308633501.1825361</v>
      </c>
      <c r="U79" s="14">
        <v>42602</v>
      </c>
      <c r="X79" s="22"/>
      <c r="Y79" s="13"/>
      <c r="Z79" s="14"/>
      <c r="AC79" s="22">
        <f t="shared" si="43"/>
        <v>35</v>
      </c>
      <c r="AD79" s="13">
        <f t="shared" si="31"/>
        <v>524996578.10881948</v>
      </c>
      <c r="AE79" s="14">
        <v>42780</v>
      </c>
      <c r="AH79" s="22"/>
      <c r="AI79" s="13"/>
      <c r="AJ79" s="14">
        <v>42780</v>
      </c>
      <c r="AM79" s="22">
        <f t="shared" si="39"/>
        <v>41</v>
      </c>
      <c r="AN79" s="13">
        <f t="shared" si="32"/>
        <v>2688611176.8963666</v>
      </c>
      <c r="AO79" s="14">
        <v>43211</v>
      </c>
      <c r="AR79" s="22"/>
      <c r="AS79" s="13"/>
      <c r="AT79" s="14"/>
      <c r="AW79" s="22">
        <f t="shared" si="41"/>
        <v>17</v>
      </c>
      <c r="AX79" s="13">
        <f t="shared" si="34"/>
        <v>4710557959.3599739</v>
      </c>
      <c r="AY79" s="14">
        <v>43235</v>
      </c>
      <c r="BB79" s="22">
        <f t="shared" si="42"/>
        <v>2</v>
      </c>
      <c r="BC79" s="13">
        <f t="shared" si="35"/>
        <v>2619488530.3393474</v>
      </c>
      <c r="BD79" s="14">
        <v>43250</v>
      </c>
    </row>
    <row r="80" spans="1:56" x14ac:dyDescent="0.25">
      <c r="A80" s="15">
        <f t="shared" si="25"/>
        <v>10413176385.206371</v>
      </c>
      <c r="B80" s="20">
        <v>43212</v>
      </c>
      <c r="D80" s="12"/>
      <c r="E80" s="12"/>
      <c r="I80" s="12">
        <f t="shared" si="36"/>
        <v>52</v>
      </c>
      <c r="J80" s="13">
        <f t="shared" si="27"/>
        <v>780017622.9804759</v>
      </c>
      <c r="K80" s="14">
        <v>42560</v>
      </c>
      <c r="N80" s="12">
        <f t="shared" si="37"/>
        <v>40</v>
      </c>
      <c r="O80" s="13">
        <f t="shared" si="28"/>
        <v>130111496.98745357</v>
      </c>
      <c r="P80" s="14">
        <v>42560</v>
      </c>
      <c r="S80" s="22">
        <f t="shared" si="38"/>
        <v>80</v>
      </c>
      <c r="T80" s="13">
        <f t="shared" si="29"/>
        <v>1308786580.479171</v>
      </c>
      <c r="U80" s="14">
        <v>42603</v>
      </c>
      <c r="X80" s="22"/>
      <c r="Y80" s="13"/>
      <c r="Z80" s="14"/>
      <c r="AC80" s="22">
        <f t="shared" si="43"/>
        <v>34</v>
      </c>
      <c r="AD80" s="13">
        <f t="shared" si="31"/>
        <v>525059829.64805639</v>
      </c>
      <c r="AE80" s="14">
        <v>42781</v>
      </c>
      <c r="AH80" s="22"/>
      <c r="AI80" s="13"/>
      <c r="AJ80" s="14">
        <v>42781</v>
      </c>
      <c r="AM80" s="22">
        <f t="shared" si="39"/>
        <v>40</v>
      </c>
      <c r="AN80" s="13">
        <f t="shared" si="32"/>
        <v>2688846859.6108131</v>
      </c>
      <c r="AO80" s="14">
        <v>43212</v>
      </c>
      <c r="AR80" s="22"/>
      <c r="AS80" s="13"/>
      <c r="AT80" s="14"/>
      <c r="AW80" s="22">
        <f t="shared" si="41"/>
        <v>16</v>
      </c>
      <c r="AX80" s="13">
        <f t="shared" si="34"/>
        <v>4710950296.359293</v>
      </c>
      <c r="AY80" s="14">
        <v>43236</v>
      </c>
      <c r="BB80" s="22">
        <f t="shared" si="42"/>
        <v>1</v>
      </c>
      <c r="BC80" s="13">
        <f t="shared" si="35"/>
        <v>2619736772.3299956</v>
      </c>
      <c r="BD80" s="14">
        <v>43251</v>
      </c>
    </row>
    <row r="81" spans="1:56" x14ac:dyDescent="0.25">
      <c r="A81" s="15">
        <f t="shared" si="25"/>
        <v>10414091596.790821</v>
      </c>
      <c r="B81" s="20">
        <v>43213</v>
      </c>
      <c r="D81" s="12"/>
      <c r="E81" s="12"/>
      <c r="I81" s="12">
        <f t="shared" si="36"/>
        <v>51</v>
      </c>
      <c r="J81" s="13">
        <f t="shared" si="27"/>
        <v>780108446.48327339</v>
      </c>
      <c r="K81" s="14">
        <v>42561</v>
      </c>
      <c r="N81" s="12">
        <f t="shared" si="37"/>
        <v>39</v>
      </c>
      <c r="O81" s="13">
        <f t="shared" si="28"/>
        <v>130127381.34033982</v>
      </c>
      <c r="P81" s="14">
        <v>42561</v>
      </c>
      <c r="S81" s="22">
        <f t="shared" si="38"/>
        <v>79</v>
      </c>
      <c r="T81" s="13">
        <f t="shared" si="29"/>
        <v>1308939695.5933404</v>
      </c>
      <c r="U81" s="14">
        <v>42604</v>
      </c>
      <c r="X81" s="22"/>
      <c r="Y81" s="13"/>
      <c r="Z81" s="14"/>
      <c r="AC81" s="22">
        <f t="shared" si="43"/>
        <v>33</v>
      </c>
      <c r="AD81" s="13">
        <f t="shared" si="31"/>
        <v>525123096.43020898</v>
      </c>
      <c r="AE81" s="14">
        <v>42782</v>
      </c>
      <c r="AH81" s="22"/>
      <c r="AI81" s="13"/>
      <c r="AJ81" s="14">
        <v>42782</v>
      </c>
      <c r="AM81" s="22">
        <f t="shared" si="39"/>
        <v>39</v>
      </c>
      <c r="AN81" s="13">
        <f t="shared" si="32"/>
        <v>2689082583.6486106</v>
      </c>
      <c r="AO81" s="14">
        <v>43213</v>
      </c>
      <c r="AR81" s="22"/>
      <c r="AS81" s="13"/>
      <c r="AT81" s="14"/>
      <c r="AW81" s="22">
        <f t="shared" si="41"/>
        <v>15</v>
      </c>
      <c r="AX81" s="13">
        <f t="shared" si="34"/>
        <v>4711342698.7186575</v>
      </c>
      <c r="AY81" s="14">
        <v>43237</v>
      </c>
      <c r="BB81" s="22">
        <f t="shared" si="42"/>
        <v>0</v>
      </c>
      <c r="BC81" s="13">
        <f t="shared" si="35"/>
        <v>2619985061.375576</v>
      </c>
      <c r="BD81" s="14">
        <v>43252</v>
      </c>
    </row>
    <row r="82" spans="1:56" x14ac:dyDescent="0.25">
      <c r="A82" s="15">
        <f t="shared" si="25"/>
        <v>10415006969.871002</v>
      </c>
      <c r="B82" s="20">
        <v>43214</v>
      </c>
      <c r="D82" s="12"/>
      <c r="E82" s="12"/>
      <c r="I82" s="12">
        <f t="shared" si="36"/>
        <v>50</v>
      </c>
      <c r="J82" s="13">
        <f t="shared" si="27"/>
        <v>780199291.13910389</v>
      </c>
      <c r="K82" s="14">
        <v>42562</v>
      </c>
      <c r="N82" s="12">
        <f t="shared" si="37"/>
        <v>38</v>
      </c>
      <c r="O82" s="13">
        <f t="shared" si="28"/>
        <v>130143269.57210654</v>
      </c>
      <c r="P82" s="14">
        <v>42562</v>
      </c>
      <c r="S82" s="22">
        <f t="shared" si="38"/>
        <v>78</v>
      </c>
      <c r="T82" s="13">
        <f t="shared" si="29"/>
        <v>1309092846.537616</v>
      </c>
      <c r="U82" s="14">
        <v>42605</v>
      </c>
      <c r="X82" s="22"/>
      <c r="Y82" s="13"/>
      <c r="Z82" s="14"/>
      <c r="AC82" s="22">
        <f t="shared" si="43"/>
        <v>32</v>
      </c>
      <c r="AD82" s="13">
        <f t="shared" si="31"/>
        <v>525186378.46078789</v>
      </c>
      <c r="AE82" s="14">
        <v>42783</v>
      </c>
      <c r="AH82" s="22"/>
      <c r="AI82" s="13"/>
      <c r="AJ82" s="14">
        <v>42783</v>
      </c>
      <c r="AM82" s="22">
        <f t="shared" si="39"/>
        <v>38</v>
      </c>
      <c r="AN82" s="13">
        <f t="shared" si="32"/>
        <v>2689318349.020628</v>
      </c>
      <c r="AO82" s="14">
        <v>43214</v>
      </c>
      <c r="AR82" s="22"/>
      <c r="AS82" s="13"/>
      <c r="AT82" s="14"/>
      <c r="AW82" s="22">
        <f t="shared" si="41"/>
        <v>14</v>
      </c>
      <c r="AX82" s="13">
        <f t="shared" si="34"/>
        <v>4711735166.454402</v>
      </c>
      <c r="AY82" s="14">
        <v>43238</v>
      </c>
      <c r="BB82" s="22"/>
      <c r="BC82" s="13"/>
      <c r="BD82" s="14"/>
    </row>
    <row r="83" spans="1:56" x14ac:dyDescent="0.25">
      <c r="A83" s="15">
        <f t="shared" si="25"/>
        <v>10415922504.489832</v>
      </c>
      <c r="B83" s="20">
        <v>43215</v>
      </c>
      <c r="D83" s="12"/>
      <c r="E83" s="12"/>
      <c r="I83" s="12">
        <f t="shared" si="36"/>
        <v>49</v>
      </c>
      <c r="J83" s="13">
        <f t="shared" si="27"/>
        <v>780290156.95535791</v>
      </c>
      <c r="K83" s="14">
        <v>42563</v>
      </c>
      <c r="N83" s="12">
        <f t="shared" si="37"/>
        <v>37</v>
      </c>
      <c r="O83" s="13">
        <f t="shared" si="28"/>
        <v>130159161.68417475</v>
      </c>
      <c r="P83" s="14">
        <v>42563</v>
      </c>
      <c r="S83" s="22">
        <f t="shared" si="38"/>
        <v>77</v>
      </c>
      <c r="T83" s="13">
        <f t="shared" si="29"/>
        <v>1309246033.3245766</v>
      </c>
      <c r="U83" s="14">
        <v>42606</v>
      </c>
      <c r="X83" s="22"/>
      <c r="Y83" s="13"/>
      <c r="Z83" s="14"/>
      <c r="AC83" s="22">
        <f t="shared" si="43"/>
        <v>31</v>
      </c>
      <c r="AD83" s="13">
        <f t="shared" si="31"/>
        <v>525249675.74530655</v>
      </c>
      <c r="AE83" s="14">
        <v>42784</v>
      </c>
      <c r="AH83" s="22"/>
      <c r="AI83" s="13"/>
      <c r="AJ83" s="14">
        <v>42784</v>
      </c>
      <c r="AM83" s="22">
        <f t="shared" si="39"/>
        <v>37</v>
      </c>
      <c r="AN83" s="13">
        <f t="shared" si="32"/>
        <v>2689554155.7377386</v>
      </c>
      <c r="AO83" s="14">
        <v>43215</v>
      </c>
      <c r="AR83" s="22"/>
      <c r="AS83" s="13"/>
      <c r="AT83" s="14"/>
      <c r="AW83" s="22">
        <f t="shared" si="41"/>
        <v>13</v>
      </c>
      <c r="AX83" s="13">
        <f t="shared" si="34"/>
        <v>4712127699.5828667</v>
      </c>
      <c r="AY83" s="14">
        <v>43239</v>
      </c>
      <c r="BB83" s="22"/>
      <c r="BC83" s="13"/>
      <c r="BD83" s="14"/>
    </row>
    <row r="84" spans="1:56" x14ac:dyDescent="0.25">
      <c r="A84" s="15">
        <f t="shared" si="25"/>
        <v>10416838200.690243</v>
      </c>
      <c r="B84" s="20">
        <v>43216</v>
      </c>
      <c r="D84" s="12"/>
      <c r="E84" s="12"/>
      <c r="I84" s="12">
        <f t="shared" si="36"/>
        <v>48</v>
      </c>
      <c r="J84" s="13">
        <f t="shared" si="27"/>
        <v>780381043.93943012</v>
      </c>
      <c r="K84" s="14">
        <v>42564</v>
      </c>
      <c r="N84" s="12">
        <f t="shared" si="37"/>
        <v>36</v>
      </c>
      <c r="O84" s="13">
        <f t="shared" si="28"/>
        <v>130175057.6779661</v>
      </c>
      <c r="P84" s="14">
        <v>42564</v>
      </c>
      <c r="S84" s="22">
        <f t="shared" si="38"/>
        <v>76</v>
      </c>
      <c r="T84" s="13">
        <f t="shared" si="29"/>
        <v>1309399255.9668057</v>
      </c>
      <c r="U84" s="14">
        <v>42607</v>
      </c>
      <c r="X84" s="22"/>
      <c r="Y84" s="13"/>
      <c r="Z84" s="14"/>
      <c r="AC84" s="22">
        <f t="shared" si="43"/>
        <v>30</v>
      </c>
      <c r="AD84" s="13">
        <f t="shared" si="31"/>
        <v>525312988.28928107</v>
      </c>
      <c r="AE84" s="14">
        <v>42785</v>
      </c>
      <c r="AH84" s="22"/>
      <c r="AI84" s="13"/>
      <c r="AJ84" s="14">
        <v>42785</v>
      </c>
      <c r="AM84" s="22">
        <f t="shared" si="39"/>
        <v>36</v>
      </c>
      <c r="AN84" s="13">
        <f t="shared" si="32"/>
        <v>2689790003.8108177</v>
      </c>
      <c r="AO84" s="14">
        <v>43216</v>
      </c>
      <c r="AR84" s="22"/>
      <c r="AS84" s="13"/>
      <c r="AT84" s="14"/>
      <c r="AW84" s="22">
        <f t="shared" si="41"/>
        <v>12</v>
      </c>
      <c r="AX84" s="13">
        <f t="shared" si="34"/>
        <v>4712520298.1203957</v>
      </c>
      <c r="AY84" s="14">
        <v>43240</v>
      </c>
      <c r="BB84" s="22"/>
      <c r="BC84" s="13"/>
      <c r="BD84" s="14"/>
    </row>
    <row r="85" spans="1:56" x14ac:dyDescent="0.25">
      <c r="A85" s="15">
        <f t="shared" si="25"/>
        <v>10417754058.515182</v>
      </c>
      <c r="B85" s="20">
        <v>43217</v>
      </c>
      <c r="D85" s="12"/>
      <c r="E85" s="12"/>
      <c r="I85" s="12">
        <f t="shared" si="36"/>
        <v>47</v>
      </c>
      <c r="J85" s="13">
        <f t="shared" si="27"/>
        <v>780471952.09871793</v>
      </c>
      <c r="K85" s="14">
        <v>42565</v>
      </c>
      <c r="N85" s="12">
        <f t="shared" si="37"/>
        <v>35</v>
      </c>
      <c r="O85" s="13">
        <f t="shared" si="28"/>
        <v>130190957.55490296</v>
      </c>
      <c r="P85" s="14">
        <v>42565</v>
      </c>
      <c r="S85" s="22">
        <f t="shared" si="38"/>
        <v>75</v>
      </c>
      <c r="T85" s="13">
        <f t="shared" si="29"/>
        <v>1309552514.4768939</v>
      </c>
      <c r="U85" s="14">
        <v>42608</v>
      </c>
      <c r="X85" s="22"/>
      <c r="Y85" s="13"/>
      <c r="Z85" s="14"/>
      <c r="AC85" s="22">
        <f t="shared" si="43"/>
        <v>29</v>
      </c>
      <c r="AD85" s="13">
        <f t="shared" si="31"/>
        <v>525376316.09823018</v>
      </c>
      <c r="AE85" s="14">
        <v>42786</v>
      </c>
      <c r="AH85" s="22"/>
      <c r="AI85" s="13"/>
      <c r="AJ85" s="14">
        <v>42786</v>
      </c>
      <c r="AM85" s="22">
        <f t="shared" si="39"/>
        <v>35</v>
      </c>
      <c r="AN85" s="13">
        <f t="shared" si="32"/>
        <v>2690025893.2507482</v>
      </c>
      <c r="AO85" s="14">
        <v>43217</v>
      </c>
      <c r="AR85" s="22"/>
      <c r="AS85" s="13"/>
      <c r="AT85" s="14"/>
      <c r="AW85" s="22">
        <f t="shared" si="41"/>
        <v>11</v>
      </c>
      <c r="AX85" s="13">
        <f t="shared" si="34"/>
        <v>4712912962.0833387</v>
      </c>
      <c r="AY85" s="14">
        <v>43241</v>
      </c>
      <c r="BB85" s="22"/>
      <c r="BC85" s="13"/>
      <c r="BD85" s="14"/>
    </row>
    <row r="86" spans="1:56" x14ac:dyDescent="0.25">
      <c r="A86" s="15">
        <f t="shared" si="25"/>
        <v>10418670078.007614</v>
      </c>
      <c r="B86" s="20">
        <v>43218</v>
      </c>
      <c r="D86" s="12"/>
      <c r="E86" s="12"/>
      <c r="I86" s="12">
        <f t="shared" si="36"/>
        <v>46</v>
      </c>
      <c r="J86" s="13">
        <f t="shared" si="27"/>
        <v>780562881.44062221</v>
      </c>
      <c r="K86" s="14">
        <v>42566</v>
      </c>
      <c r="N86" s="12">
        <f t="shared" si="37"/>
        <v>34</v>
      </c>
      <c r="O86" s="13">
        <f t="shared" si="28"/>
        <v>130206861.31640835</v>
      </c>
      <c r="P86" s="14">
        <v>42566</v>
      </c>
      <c r="S86" s="22">
        <f t="shared" si="38"/>
        <v>74</v>
      </c>
      <c r="T86" s="13">
        <f t="shared" si="29"/>
        <v>1309705808.8674369</v>
      </c>
      <c r="U86" s="14">
        <v>42609</v>
      </c>
      <c r="X86" s="22"/>
      <c r="Y86" s="13"/>
      <c r="Z86" s="14"/>
      <c r="AC86" s="22">
        <f t="shared" si="43"/>
        <v>28</v>
      </c>
      <c r="AD86" s="13">
        <f t="shared" si="31"/>
        <v>525439659.17767507</v>
      </c>
      <c r="AE86" s="14">
        <v>42787</v>
      </c>
      <c r="AH86" s="22"/>
      <c r="AI86" s="13"/>
      <c r="AJ86" s="14">
        <v>42787</v>
      </c>
      <c r="AM86" s="22">
        <f t="shared" si="39"/>
        <v>34</v>
      </c>
      <c r="AN86" s="13">
        <f t="shared" si="32"/>
        <v>2690261824.0684118</v>
      </c>
      <c r="AO86" s="14">
        <v>43218</v>
      </c>
      <c r="AR86" s="22"/>
      <c r="AS86" s="13"/>
      <c r="AT86" s="14"/>
      <c r="AW86" s="22">
        <f t="shared" si="41"/>
        <v>10</v>
      </c>
      <c r="AX86" s="13">
        <f t="shared" si="34"/>
        <v>4713305691.4880533</v>
      </c>
      <c r="AY86" s="14">
        <v>43242</v>
      </c>
      <c r="BB86" s="22"/>
      <c r="BC86" s="13"/>
      <c r="BD86" s="14"/>
    </row>
    <row r="87" spans="1:56" x14ac:dyDescent="0.25">
      <c r="A87" s="15">
        <f t="shared" si="25"/>
        <v>10419586259.210514</v>
      </c>
      <c r="B87" s="20">
        <v>43219</v>
      </c>
      <c r="D87" s="12"/>
      <c r="E87" s="12"/>
      <c r="I87" s="12">
        <f t="shared" si="36"/>
        <v>45</v>
      </c>
      <c r="J87" s="13">
        <f t="shared" si="27"/>
        <v>780653831.97254789</v>
      </c>
      <c r="K87" s="14">
        <v>42567</v>
      </c>
      <c r="N87" s="12">
        <f t="shared" si="37"/>
        <v>33</v>
      </c>
      <c r="O87" s="13">
        <f t="shared" si="28"/>
        <v>130222768.96390609</v>
      </c>
      <c r="P87" s="14">
        <v>42567</v>
      </c>
      <c r="S87" s="22">
        <f t="shared" si="38"/>
        <v>73</v>
      </c>
      <c r="T87" s="13">
        <f t="shared" si="29"/>
        <v>1309859139.1510365</v>
      </c>
      <c r="U87" s="14">
        <v>42610</v>
      </c>
      <c r="X87" s="22"/>
      <c r="Y87" s="13"/>
      <c r="Z87" s="14"/>
      <c r="AC87" s="22">
        <f t="shared" si="43"/>
        <v>27</v>
      </c>
      <c r="AD87" s="13">
        <f t="shared" si="31"/>
        <v>525503017.53313994</v>
      </c>
      <c r="AE87" s="14">
        <v>42788</v>
      </c>
      <c r="AH87" s="22"/>
      <c r="AI87" s="13"/>
      <c r="AJ87" s="14">
        <v>42788</v>
      </c>
      <c r="AM87" s="22">
        <f t="shared" si="39"/>
        <v>33</v>
      </c>
      <c r="AN87" s="13">
        <f t="shared" si="32"/>
        <v>2690497796.2746987</v>
      </c>
      <c r="AO87" s="14">
        <v>43219</v>
      </c>
      <c r="AR87" s="22"/>
      <c r="AS87" s="13"/>
      <c r="AT87" s="14"/>
      <c r="AW87" s="22">
        <f t="shared" si="41"/>
        <v>9</v>
      </c>
      <c r="AX87" s="13">
        <f t="shared" si="34"/>
        <v>4713698486.3508997</v>
      </c>
      <c r="AY87" s="14">
        <v>43243</v>
      </c>
      <c r="BB87" s="22"/>
      <c r="BC87" s="13"/>
      <c r="BD87" s="14"/>
    </row>
    <row r="88" spans="1:56" x14ac:dyDescent="0.25">
      <c r="A88" s="15">
        <f t="shared" si="25"/>
        <v>10420502602.166882</v>
      </c>
      <c r="B88" s="20">
        <v>43220</v>
      </c>
      <c r="D88" s="12"/>
      <c r="E88" s="12"/>
      <c r="I88" s="12">
        <f t="shared" si="36"/>
        <v>44</v>
      </c>
      <c r="J88" s="13">
        <f t="shared" si="27"/>
        <v>780744803.70190275</v>
      </c>
      <c r="K88" s="14">
        <v>42568</v>
      </c>
      <c r="N88" s="12">
        <f t="shared" si="37"/>
        <v>32</v>
      </c>
      <c r="O88" s="13">
        <f t="shared" si="28"/>
        <v>130238680.49882062</v>
      </c>
      <c r="P88" s="14">
        <v>42568</v>
      </c>
      <c r="S88" s="22">
        <f t="shared" si="38"/>
        <v>72</v>
      </c>
      <c r="T88" s="13">
        <f t="shared" si="29"/>
        <v>1310012505.3403003</v>
      </c>
      <c r="U88" s="14">
        <v>42611</v>
      </c>
      <c r="X88" s="22"/>
      <c r="Y88" s="13"/>
      <c r="Z88" s="14"/>
      <c r="AC88" s="22">
        <f t="shared" si="43"/>
        <v>26</v>
      </c>
      <c r="AD88" s="13">
        <f t="shared" si="31"/>
        <v>525566391.17015135</v>
      </c>
      <c r="AE88" s="14">
        <v>42789</v>
      </c>
      <c r="AH88" s="22"/>
      <c r="AI88" s="13"/>
      <c r="AJ88" s="14">
        <v>42789</v>
      </c>
      <c r="AM88" s="22">
        <f t="shared" si="39"/>
        <v>32</v>
      </c>
      <c r="AN88" s="13">
        <f t="shared" si="32"/>
        <v>2690733809.8804998</v>
      </c>
      <c r="AO88" s="14">
        <v>43220</v>
      </c>
      <c r="AR88" s="22"/>
      <c r="AS88" s="13"/>
      <c r="AT88" s="14"/>
      <c r="AW88" s="22">
        <f t="shared" si="41"/>
        <v>8</v>
      </c>
      <c r="AX88" s="13">
        <f t="shared" si="34"/>
        <v>4714091346.6882439</v>
      </c>
      <c r="AY88" s="14">
        <v>43244</v>
      </c>
      <c r="BB88" s="22"/>
      <c r="BC88" s="13"/>
      <c r="BD88" s="14"/>
    </row>
    <row r="89" spans="1:56" x14ac:dyDescent="0.25">
      <c r="A89" s="15">
        <f t="shared" si="25"/>
        <v>10421419106.91972</v>
      </c>
      <c r="B89" s="20">
        <v>43221</v>
      </c>
      <c r="D89" s="12"/>
      <c r="E89" s="12"/>
      <c r="I89" s="12">
        <f t="shared" si="36"/>
        <v>43</v>
      </c>
      <c r="J89" s="13">
        <f t="shared" si="27"/>
        <v>780835796.63609815</v>
      </c>
      <c r="K89" s="14">
        <v>42569</v>
      </c>
      <c r="N89" s="12">
        <f t="shared" si="37"/>
        <v>31</v>
      </c>
      <c r="O89" s="13">
        <f t="shared" si="28"/>
        <v>130254595.92257708</v>
      </c>
      <c r="P89" s="14">
        <v>42569</v>
      </c>
      <c r="S89" s="22">
        <f t="shared" si="38"/>
        <v>71</v>
      </c>
      <c r="T89" s="13">
        <f t="shared" si="29"/>
        <v>1310165907.4478419</v>
      </c>
      <c r="U89" s="14">
        <v>42612</v>
      </c>
      <c r="X89" s="22"/>
      <c r="Y89" s="13"/>
      <c r="Z89" s="14"/>
      <c r="AC89" s="22">
        <f t="shared" si="43"/>
        <v>25</v>
      </c>
      <c r="AD89" s="13">
        <f t="shared" si="31"/>
        <v>525629780.0942387</v>
      </c>
      <c r="AE89" s="14">
        <v>42790</v>
      </c>
      <c r="AH89" s="22"/>
      <c r="AI89" s="13"/>
      <c r="AJ89" s="14">
        <v>42790</v>
      </c>
      <c r="AM89" s="22">
        <f t="shared" si="39"/>
        <v>31</v>
      </c>
      <c r="AN89" s="13">
        <f t="shared" si="32"/>
        <v>2690969864.8967118</v>
      </c>
      <c r="AO89" s="14">
        <v>43221</v>
      </c>
      <c r="AR89" s="22"/>
      <c r="AS89" s="13"/>
      <c r="AT89" s="14"/>
      <c r="AW89" s="22">
        <f t="shared" si="41"/>
        <v>7</v>
      </c>
      <c r="AX89" s="13">
        <f t="shared" si="34"/>
        <v>4714484272.5164595</v>
      </c>
      <c r="AY89" s="14">
        <v>43245</v>
      </c>
      <c r="BB89" s="22"/>
      <c r="BC89" s="13"/>
      <c r="BD89" s="14"/>
    </row>
    <row r="90" spans="1:56" x14ac:dyDescent="0.25">
      <c r="A90" s="15">
        <f t="shared" si="25"/>
        <v>10422335773.512056</v>
      </c>
      <c r="B90" s="20">
        <v>43222</v>
      </c>
      <c r="D90" s="12"/>
      <c r="E90" s="12"/>
      <c r="I90" s="12">
        <f t="shared" si="36"/>
        <v>42</v>
      </c>
      <c r="J90" s="13">
        <f t="shared" si="27"/>
        <v>780926810.78254926</v>
      </c>
      <c r="K90" s="14">
        <v>42570</v>
      </c>
      <c r="N90" s="12">
        <f t="shared" si="37"/>
        <v>30</v>
      </c>
      <c r="O90" s="13">
        <f t="shared" si="28"/>
        <v>130270515.23660131</v>
      </c>
      <c r="P90" s="14">
        <v>42570</v>
      </c>
      <c r="S90" s="22">
        <f t="shared" si="38"/>
        <v>70</v>
      </c>
      <c r="T90" s="13">
        <f t="shared" si="29"/>
        <v>1310319345.4862814</v>
      </c>
      <c r="U90" s="14">
        <v>42613</v>
      </c>
      <c r="X90" s="22"/>
      <c r="Y90" s="13"/>
      <c r="Z90" s="14"/>
      <c r="AC90" s="22">
        <f t="shared" si="43"/>
        <v>24</v>
      </c>
      <c r="AD90" s="13">
        <f t="shared" si="31"/>
        <v>525693184.31093401</v>
      </c>
      <c r="AE90" s="14">
        <v>42791</v>
      </c>
      <c r="AH90" s="22"/>
      <c r="AI90" s="13"/>
      <c r="AJ90" s="14">
        <v>42791</v>
      </c>
      <c r="AM90" s="22">
        <f t="shared" si="39"/>
        <v>30</v>
      </c>
      <c r="AN90" s="13">
        <f t="shared" si="32"/>
        <v>2691205961.3342328</v>
      </c>
      <c r="AO90" s="14">
        <v>43222</v>
      </c>
      <c r="AR90" s="22"/>
      <c r="AS90" s="13"/>
      <c r="AT90" s="14"/>
      <c r="AW90" s="22">
        <f t="shared" si="41"/>
        <v>6</v>
      </c>
      <c r="AX90" s="13">
        <f t="shared" si="34"/>
        <v>4714877263.851923</v>
      </c>
      <c r="AY90" s="14">
        <v>43246</v>
      </c>
      <c r="BB90" s="22"/>
      <c r="BC90" s="13"/>
      <c r="BD90" s="14"/>
    </row>
    <row r="91" spans="1:56" x14ac:dyDescent="0.25">
      <c r="A91" s="15">
        <f t="shared" si="25"/>
        <v>10423252601.986933</v>
      </c>
      <c r="B91" s="20">
        <v>43223</v>
      </c>
      <c r="D91" s="12"/>
      <c r="E91" s="12"/>
      <c r="I91" s="12">
        <f t="shared" si="36"/>
        <v>41</v>
      </c>
      <c r="J91" s="13">
        <f t="shared" si="27"/>
        <v>781017846.14867437</v>
      </c>
      <c r="K91" s="14">
        <v>42571</v>
      </c>
      <c r="N91" s="12">
        <f t="shared" si="37"/>
        <v>29</v>
      </c>
      <c r="O91" s="13">
        <f t="shared" si="28"/>
        <v>130286438.44231984</v>
      </c>
      <c r="P91" s="14">
        <v>42571</v>
      </c>
      <c r="S91" s="22">
        <f t="shared" si="38"/>
        <v>69</v>
      </c>
      <c r="T91" s="13">
        <f t="shared" si="29"/>
        <v>1310472819.4682438</v>
      </c>
      <c r="U91" s="14">
        <v>42614</v>
      </c>
      <c r="X91" s="22"/>
      <c r="Y91" s="13"/>
      <c r="Z91" s="14"/>
      <c r="AC91" s="22">
        <f t="shared" si="43"/>
        <v>23</v>
      </c>
      <c r="AD91" s="13">
        <f t="shared" si="31"/>
        <v>525756603.82577199</v>
      </c>
      <c r="AE91" s="14">
        <v>42792</v>
      </c>
      <c r="AH91" s="22"/>
      <c r="AI91" s="13"/>
      <c r="AJ91" s="14">
        <v>42792</v>
      </c>
      <c r="AM91" s="22">
        <f t="shared" si="39"/>
        <v>29</v>
      </c>
      <c r="AN91" s="13">
        <f t="shared" si="32"/>
        <v>2691442099.203968</v>
      </c>
      <c r="AO91" s="14">
        <v>43223</v>
      </c>
      <c r="AR91" s="22"/>
      <c r="AS91" s="13"/>
      <c r="AT91" s="14"/>
      <c r="AW91" s="22">
        <f t="shared" si="41"/>
        <v>5</v>
      </c>
      <c r="AX91" s="13">
        <f t="shared" si="34"/>
        <v>4715270320.7110186</v>
      </c>
      <c r="AY91" s="14">
        <v>43247</v>
      </c>
      <c r="BB91" s="22"/>
      <c r="BC91" s="13"/>
      <c r="BD91" s="14"/>
    </row>
    <row r="92" spans="1:56" x14ac:dyDescent="0.25">
      <c r="A92" s="15">
        <f t="shared" si="25"/>
        <v>10424169592.387398</v>
      </c>
      <c r="B92" s="20">
        <v>43224</v>
      </c>
      <c r="D92" s="12"/>
      <c r="E92" s="12"/>
      <c r="I92" s="12">
        <f t="shared" si="36"/>
        <v>40</v>
      </c>
      <c r="J92" s="13">
        <f t="shared" si="27"/>
        <v>781108902.74189508</v>
      </c>
      <c r="K92" s="14">
        <v>42572</v>
      </c>
      <c r="N92" s="12">
        <f t="shared" si="37"/>
        <v>28</v>
      </c>
      <c r="O92" s="13">
        <f t="shared" si="28"/>
        <v>130302365.54115994</v>
      </c>
      <c r="P92" s="14">
        <v>42572</v>
      </c>
      <c r="S92" s="22">
        <f t="shared" si="38"/>
        <v>68</v>
      </c>
      <c r="T92" s="13">
        <f t="shared" si="29"/>
        <v>1310626329.4063606</v>
      </c>
      <c r="U92" s="14">
        <v>42615</v>
      </c>
      <c r="X92" s="22"/>
      <c r="Y92" s="13"/>
      <c r="Z92" s="14"/>
      <c r="AC92" s="22">
        <f t="shared" si="43"/>
        <v>22</v>
      </c>
      <c r="AD92" s="13">
        <f t="shared" si="31"/>
        <v>525820038.64428991</v>
      </c>
      <c r="AE92" s="14">
        <v>42793</v>
      </c>
      <c r="AH92" s="22"/>
      <c r="AI92" s="13"/>
      <c r="AJ92" s="14">
        <v>42793</v>
      </c>
      <c r="AM92" s="22">
        <f t="shared" si="39"/>
        <v>28</v>
      </c>
      <c r="AN92" s="13">
        <f t="shared" si="32"/>
        <v>2691678278.5168233</v>
      </c>
      <c r="AO92" s="14">
        <v>43224</v>
      </c>
      <c r="AR92" s="22"/>
      <c r="AS92" s="13"/>
      <c r="AT92" s="14"/>
      <c r="AW92" s="22">
        <f t="shared" si="41"/>
        <v>4</v>
      </c>
      <c r="AX92" s="13">
        <f t="shared" si="34"/>
        <v>4715663443.1101322</v>
      </c>
      <c r="AY92" s="14">
        <v>43248</v>
      </c>
      <c r="BB92" s="22"/>
      <c r="BC92" s="13"/>
      <c r="BD92" s="14"/>
    </row>
    <row r="93" spans="1:56" x14ac:dyDescent="0.25">
      <c r="A93" s="15">
        <f t="shared" si="25"/>
        <v>10425086744.756527</v>
      </c>
      <c r="B93" s="20">
        <v>43225</v>
      </c>
      <c r="D93" s="12"/>
      <c r="E93" s="12"/>
      <c r="I93" s="12">
        <f t="shared" si="36"/>
        <v>39</v>
      </c>
      <c r="J93" s="13">
        <f t="shared" si="27"/>
        <v>781199980.56963694</v>
      </c>
      <c r="K93" s="14">
        <v>42573</v>
      </c>
      <c r="N93" s="12">
        <f t="shared" si="37"/>
        <v>27</v>
      </c>
      <c r="O93" s="13">
        <f t="shared" si="28"/>
        <v>130318296.53454956</v>
      </c>
      <c r="P93" s="14">
        <v>42573</v>
      </c>
      <c r="S93" s="22">
        <f t="shared" si="38"/>
        <v>67</v>
      </c>
      <c r="T93" s="13">
        <f t="shared" si="29"/>
        <v>1310779875.3132687</v>
      </c>
      <c r="U93" s="14">
        <v>42616</v>
      </c>
      <c r="X93" s="22"/>
      <c r="Y93" s="13"/>
      <c r="Z93" s="14"/>
      <c r="AC93" s="22">
        <f t="shared" si="43"/>
        <v>21</v>
      </c>
      <c r="AD93" s="13">
        <f t="shared" si="31"/>
        <v>525883488.77202797</v>
      </c>
      <c r="AE93" s="14">
        <v>42794</v>
      </c>
      <c r="AH93" s="22"/>
      <c r="AI93" s="13"/>
      <c r="AJ93" s="14">
        <v>42794</v>
      </c>
      <c r="AM93" s="22">
        <f t="shared" si="39"/>
        <v>27</v>
      </c>
      <c r="AN93" s="13">
        <f t="shared" si="32"/>
        <v>2691914499.2837105</v>
      </c>
      <c r="AO93" s="14">
        <v>43225</v>
      </c>
      <c r="AR93" s="22"/>
      <c r="AS93" s="13"/>
      <c r="AT93" s="14"/>
      <c r="AW93" s="22">
        <f t="shared" si="41"/>
        <v>3</v>
      </c>
      <c r="AX93" s="13">
        <f t="shared" si="34"/>
        <v>4716056631.0656614</v>
      </c>
      <c r="AY93" s="14">
        <v>43249</v>
      </c>
      <c r="BB93" s="22"/>
      <c r="BC93" s="13"/>
      <c r="BD93" s="14"/>
    </row>
    <row r="94" spans="1:56" x14ac:dyDescent="0.25">
      <c r="A94" s="15">
        <f t="shared" si="25"/>
        <v>10426004059.137403</v>
      </c>
      <c r="B94" s="20">
        <v>43226</v>
      </c>
      <c r="D94" s="12"/>
      <c r="E94" s="12"/>
      <c r="I94" s="12">
        <f t="shared" si="36"/>
        <v>38</v>
      </c>
      <c r="J94" s="13">
        <f t="shared" si="27"/>
        <v>781291079.6393286</v>
      </c>
      <c r="K94" s="14">
        <v>42574</v>
      </c>
      <c r="N94" s="12">
        <f t="shared" si="37"/>
        <v>26</v>
      </c>
      <c r="O94" s="13">
        <f t="shared" si="28"/>
        <v>130334231.42391732</v>
      </c>
      <c r="P94" s="14">
        <v>42574</v>
      </c>
      <c r="S94" s="22">
        <f t="shared" si="38"/>
        <v>66</v>
      </c>
      <c r="T94" s="13">
        <f t="shared" si="29"/>
        <v>1310933457.2016118</v>
      </c>
      <c r="U94" s="14">
        <v>42617</v>
      </c>
      <c r="X94" s="22"/>
      <c r="Y94" s="13"/>
      <c r="Z94" s="14"/>
      <c r="AC94" s="22">
        <f t="shared" si="43"/>
        <v>20</v>
      </c>
      <c r="AD94" s="13">
        <f t="shared" si="31"/>
        <v>525946954.21452874</v>
      </c>
      <c r="AE94" s="14">
        <v>42795</v>
      </c>
      <c r="AH94" s="22"/>
      <c r="AI94" s="13"/>
      <c r="AJ94" s="14">
        <v>42795</v>
      </c>
      <c r="AM94" s="22">
        <f t="shared" si="39"/>
        <v>26</v>
      </c>
      <c r="AN94" s="13">
        <f t="shared" si="32"/>
        <v>2692150761.5155444</v>
      </c>
      <c r="AO94" s="14">
        <v>43226</v>
      </c>
      <c r="AR94" s="22"/>
      <c r="AS94" s="13"/>
      <c r="AT94" s="14"/>
      <c r="AW94" s="22">
        <f t="shared" si="41"/>
        <v>2</v>
      </c>
      <c r="AX94" s="13">
        <f t="shared" si="34"/>
        <v>4716449884.5940046</v>
      </c>
      <c r="AY94" s="14">
        <v>43250</v>
      </c>
      <c r="BB94" s="22"/>
      <c r="BC94" s="13"/>
      <c r="BD94" s="14"/>
    </row>
    <row r="95" spans="1:56" x14ac:dyDescent="0.25">
      <c r="A95" s="15">
        <f t="shared" si="25"/>
        <v>10013600600.60836</v>
      </c>
      <c r="B95" s="20">
        <v>43227</v>
      </c>
      <c r="D95" s="12"/>
      <c r="E95" s="12"/>
      <c r="I95" s="12">
        <f t="shared" si="36"/>
        <v>37</v>
      </c>
      <c r="J95" s="13">
        <f t="shared" si="27"/>
        <v>781382199.95840204</v>
      </c>
      <c r="K95" s="14">
        <v>42575</v>
      </c>
      <c r="N95" s="12">
        <f t="shared" si="37"/>
        <v>25</v>
      </c>
      <c r="O95" s="13">
        <f t="shared" si="28"/>
        <v>130350170.21069252</v>
      </c>
      <c r="P95" s="14">
        <v>42575</v>
      </c>
      <c r="S95" s="22">
        <f t="shared" si="38"/>
        <v>65</v>
      </c>
      <c r="T95" s="13">
        <f t="shared" si="29"/>
        <v>1311087075.084039</v>
      </c>
      <c r="U95" s="14">
        <v>42618</v>
      </c>
      <c r="X95" s="22"/>
      <c r="Y95" s="13"/>
      <c r="Z95" s="14"/>
      <c r="AC95" s="22">
        <f t="shared" si="43"/>
        <v>19</v>
      </c>
      <c r="AD95" s="13">
        <f t="shared" si="31"/>
        <v>526010434.97733766</v>
      </c>
      <c r="AE95" s="14">
        <v>42796</v>
      </c>
      <c r="AH95" s="22"/>
      <c r="AI95" s="13"/>
      <c r="AJ95" s="14">
        <v>42796</v>
      </c>
      <c r="AM95" s="22">
        <f t="shared" si="39"/>
        <v>25</v>
      </c>
      <c r="AN95" s="13">
        <f t="shared" si="32"/>
        <v>2692387065.2232437</v>
      </c>
      <c r="AO95" s="14">
        <v>43227</v>
      </c>
      <c r="AR95" s="22"/>
      <c r="AS95" s="13"/>
      <c r="AT95" s="14"/>
      <c r="AW95" s="22">
        <f t="shared" si="41"/>
        <v>1</v>
      </c>
      <c r="AX95" s="13">
        <f t="shared" si="34"/>
        <v>4716843203.7115641</v>
      </c>
      <c r="AY95" s="14">
        <v>43251</v>
      </c>
      <c r="BB95" s="22"/>
      <c r="BC95" s="13"/>
      <c r="BD95" s="14"/>
    </row>
    <row r="96" spans="1:56" x14ac:dyDescent="0.25">
      <c r="A96" s="15">
        <f>+AN96+AS78+AX72+BC57</f>
        <v>10014475923.91774</v>
      </c>
      <c r="B96" s="20">
        <v>43228</v>
      </c>
      <c r="D96" s="12"/>
      <c r="E96" s="12"/>
      <c r="I96" s="12">
        <f t="shared" si="36"/>
        <v>36</v>
      </c>
      <c r="J96" s="13">
        <f t="shared" si="27"/>
        <v>781473341.53429329</v>
      </c>
      <c r="K96" s="14">
        <v>42576</v>
      </c>
      <c r="N96" s="12">
        <f t="shared" si="37"/>
        <v>24</v>
      </c>
      <c r="O96" s="13">
        <f t="shared" si="28"/>
        <v>130366112.89630526</v>
      </c>
      <c r="P96" s="14">
        <v>42576</v>
      </c>
      <c r="S96" s="22">
        <f t="shared" si="38"/>
        <v>64</v>
      </c>
      <c r="T96" s="13">
        <f t="shared" si="29"/>
        <v>1311240728.9732051</v>
      </c>
      <c r="U96" s="14">
        <v>42619</v>
      </c>
      <c r="X96" s="22"/>
      <c r="Y96" s="13"/>
      <c r="Z96" s="14"/>
      <c r="AC96" s="22">
        <f t="shared" si="43"/>
        <v>18</v>
      </c>
      <c r="AD96" s="13">
        <f t="shared" si="31"/>
        <v>526073931.06600273</v>
      </c>
      <c r="AE96" s="14">
        <v>42797</v>
      </c>
      <c r="AH96" s="22"/>
      <c r="AI96" s="13"/>
      <c r="AJ96" s="14">
        <v>42797</v>
      </c>
      <c r="AM96" s="22">
        <f t="shared" si="39"/>
        <v>24</v>
      </c>
      <c r="AN96" s="13">
        <f t="shared" si="32"/>
        <v>2692623410.4177308</v>
      </c>
      <c r="AO96" s="14">
        <v>43228</v>
      </c>
      <c r="AR96" s="22"/>
      <c r="AS96" s="13"/>
      <c r="AT96" s="14"/>
      <c r="AW96" s="22">
        <f t="shared" si="41"/>
        <v>0</v>
      </c>
      <c r="AX96" s="13">
        <f t="shared" si="34"/>
        <v>4717236588.4347544</v>
      </c>
      <c r="AY96" s="14">
        <v>43252</v>
      </c>
      <c r="BB96" s="22"/>
      <c r="BC96" s="13"/>
      <c r="BD96" s="14"/>
    </row>
    <row r="97" spans="1:56" x14ac:dyDescent="0.25">
      <c r="A97" s="15">
        <f t="shared" si="25"/>
        <v>10015351400.702986</v>
      </c>
      <c r="B97" s="20">
        <v>43229</v>
      </c>
      <c r="D97" s="12"/>
      <c r="E97" s="12"/>
      <c r="I97" s="12">
        <f t="shared" si="36"/>
        <v>35</v>
      </c>
      <c r="J97" s="13">
        <f t="shared" si="27"/>
        <v>781564504.3744415</v>
      </c>
      <c r="K97" s="14">
        <v>42577</v>
      </c>
      <c r="N97" s="12">
        <f t="shared" si="37"/>
        <v>23</v>
      </c>
      <c r="O97" s="13">
        <f t="shared" si="28"/>
        <v>130382059.48218624</v>
      </c>
      <c r="P97" s="14">
        <v>42577</v>
      </c>
      <c r="S97" s="22">
        <f t="shared" si="38"/>
        <v>63</v>
      </c>
      <c r="T97" s="13">
        <f t="shared" si="29"/>
        <v>1311394418.8817711</v>
      </c>
      <c r="U97" s="14">
        <v>42620</v>
      </c>
      <c r="X97" s="22"/>
      <c r="Y97" s="13"/>
      <c r="Z97" s="14"/>
      <c r="AC97" s="22">
        <f t="shared" si="43"/>
        <v>17</v>
      </c>
      <c r="AD97" s="13">
        <f t="shared" si="31"/>
        <v>526137442.48607481</v>
      </c>
      <c r="AE97" s="14">
        <v>42798</v>
      </c>
      <c r="AH97" s="22"/>
      <c r="AI97" s="13"/>
      <c r="AJ97" s="14">
        <v>42798</v>
      </c>
      <c r="AM97" s="22">
        <f t="shared" si="39"/>
        <v>23</v>
      </c>
      <c r="AN97" s="13">
        <f t="shared" si="32"/>
        <v>2692859797.1099334</v>
      </c>
      <c r="AO97" s="14">
        <v>43229</v>
      </c>
      <c r="AR97" s="22"/>
      <c r="AS97" s="13"/>
      <c r="AT97" s="14"/>
      <c r="AW97" s="22"/>
      <c r="AX97" s="13"/>
      <c r="AY97" s="14"/>
      <c r="BB97" s="22"/>
      <c r="BC97" s="13"/>
      <c r="BD97" s="14"/>
    </row>
    <row r="98" spans="1:56" x14ac:dyDescent="0.25">
      <c r="A98" s="15">
        <f t="shared" si="25"/>
        <v>10016227031.004576</v>
      </c>
      <c r="B98" s="20">
        <v>43230</v>
      </c>
      <c r="D98" s="12"/>
      <c r="E98" s="12"/>
      <c r="I98" s="12">
        <f t="shared" si="36"/>
        <v>34</v>
      </c>
      <c r="J98" s="13">
        <f t="shared" si="27"/>
        <v>781655688.48628879</v>
      </c>
      <c r="K98" s="14">
        <v>42578</v>
      </c>
      <c r="N98" s="12">
        <f t="shared" si="37"/>
        <v>22</v>
      </c>
      <c r="O98" s="13">
        <f t="shared" si="28"/>
        <v>130398009.96976691</v>
      </c>
      <c r="P98" s="14">
        <v>42578</v>
      </c>
      <c r="S98" s="22">
        <f t="shared" si="38"/>
        <v>62</v>
      </c>
      <c r="T98" s="13">
        <f t="shared" si="29"/>
        <v>1311548144.8224044</v>
      </c>
      <c r="U98" s="14">
        <v>42621</v>
      </c>
      <c r="X98" s="22"/>
      <c r="Y98" s="13"/>
      <c r="Z98" s="14"/>
      <c r="AC98" s="22">
        <f t="shared" si="43"/>
        <v>16</v>
      </c>
      <c r="AD98" s="13">
        <f t="shared" si="31"/>
        <v>526200969.24310726</v>
      </c>
      <c r="AE98" s="14">
        <v>42799</v>
      </c>
      <c r="AH98" s="22"/>
      <c r="AI98" s="13"/>
      <c r="AJ98" s="14">
        <v>42799</v>
      </c>
      <c r="AM98" s="22">
        <f t="shared" si="39"/>
        <v>22</v>
      </c>
      <c r="AN98" s="13">
        <f t="shared" si="32"/>
        <v>2693096225.3107796</v>
      </c>
      <c r="AO98" s="14">
        <v>43230</v>
      </c>
      <c r="AR98" s="22"/>
      <c r="AS98" s="13"/>
      <c r="AT98" s="14"/>
      <c r="AW98" s="22"/>
      <c r="AX98" s="13"/>
      <c r="AY98" s="14"/>
      <c r="BB98" s="22"/>
      <c r="BC98" s="13"/>
      <c r="BD98" s="14"/>
    </row>
    <row r="99" spans="1:56" x14ac:dyDescent="0.25">
      <c r="A99" s="15">
        <f t="shared" si="25"/>
        <v>10017102814.863014</v>
      </c>
      <c r="B99" s="20">
        <v>43231</v>
      </c>
      <c r="D99" s="12"/>
      <c r="E99" s="12"/>
      <c r="I99" s="12">
        <f t="shared" si="36"/>
        <v>33</v>
      </c>
      <c r="J99" s="13">
        <f t="shared" si="27"/>
        <v>781746893.8772819</v>
      </c>
      <c r="K99" s="14">
        <v>42579</v>
      </c>
      <c r="N99" s="12">
        <f t="shared" si="37"/>
        <v>21</v>
      </c>
      <c r="O99" s="13">
        <f t="shared" si="28"/>
        <v>130413964.36047941</v>
      </c>
      <c r="P99" s="14">
        <v>42579</v>
      </c>
      <c r="S99" s="22">
        <f t="shared" si="38"/>
        <v>61</v>
      </c>
      <c r="T99" s="13">
        <f t="shared" si="29"/>
        <v>1311701906.8077774</v>
      </c>
      <c r="U99" s="14">
        <v>42622</v>
      </c>
      <c r="X99" s="22"/>
      <c r="Y99" s="13"/>
      <c r="Z99" s="14"/>
      <c r="AC99" s="22">
        <f t="shared" si="43"/>
        <v>15</v>
      </c>
      <c r="AD99" s="13">
        <f t="shared" si="31"/>
        <v>526264511.34265614</v>
      </c>
      <c r="AE99" s="14">
        <v>42800</v>
      </c>
      <c r="AH99" s="22"/>
      <c r="AI99" s="13"/>
      <c r="AJ99" s="14">
        <v>42800</v>
      </c>
      <c r="AM99" s="22">
        <f t="shared" si="39"/>
        <v>21</v>
      </c>
      <c r="AN99" s="13">
        <f t="shared" si="32"/>
        <v>2693332695.0312052</v>
      </c>
      <c r="AO99" s="14">
        <v>43231</v>
      </c>
      <c r="AR99" s="22"/>
      <c r="AS99" s="13"/>
      <c r="AT99" s="14"/>
      <c r="AW99" s="22"/>
      <c r="AX99" s="13"/>
      <c r="AY99" s="14"/>
      <c r="BB99" s="22"/>
      <c r="BC99" s="13"/>
      <c r="BD99" s="14"/>
    </row>
    <row r="100" spans="1:56" x14ac:dyDescent="0.25">
      <c r="A100" s="15">
        <f t="shared" si="25"/>
        <v>10017978752.318811</v>
      </c>
      <c r="B100" s="20">
        <v>43232</v>
      </c>
      <c r="D100" s="12"/>
      <c r="E100" s="12"/>
      <c r="I100" s="12">
        <f t="shared" si="36"/>
        <v>32</v>
      </c>
      <c r="J100" s="13">
        <f t="shared" si="27"/>
        <v>781838120.55487013</v>
      </c>
      <c r="K100" s="14">
        <v>42580</v>
      </c>
      <c r="N100" s="12">
        <f t="shared" si="37"/>
        <v>20</v>
      </c>
      <c r="O100" s="13">
        <f t="shared" si="28"/>
        <v>130429922.65575652</v>
      </c>
      <c r="P100" s="14">
        <v>42580</v>
      </c>
      <c r="S100" s="22">
        <f t="shared" si="38"/>
        <v>60</v>
      </c>
      <c r="T100" s="13">
        <f t="shared" si="29"/>
        <v>1311855704.850569</v>
      </c>
      <c r="U100" s="14">
        <v>42623</v>
      </c>
      <c r="X100" s="22"/>
      <c r="Y100" s="13"/>
      <c r="Z100" s="14"/>
      <c r="AC100" s="22">
        <f t="shared" si="43"/>
        <v>14</v>
      </c>
      <c r="AD100" s="13">
        <f t="shared" si="31"/>
        <v>526328068.79028028</v>
      </c>
      <c r="AE100" s="14">
        <v>42801</v>
      </c>
      <c r="AH100" s="22"/>
      <c r="AI100" s="13"/>
      <c r="AJ100" s="14">
        <v>42801</v>
      </c>
      <c r="AM100" s="22">
        <f t="shared" si="39"/>
        <v>20</v>
      </c>
      <c r="AN100" s="13">
        <f t="shared" si="32"/>
        <v>2693569206.2821474</v>
      </c>
      <c r="AO100" s="14">
        <v>43232</v>
      </c>
      <c r="AR100" s="22"/>
      <c r="AS100" s="13"/>
      <c r="AT100" s="14"/>
      <c r="AW100" s="22"/>
      <c r="AX100" s="13"/>
      <c r="AY100" s="14"/>
      <c r="BB100" s="22"/>
      <c r="BC100" s="13"/>
      <c r="BD100" s="14"/>
    </row>
    <row r="101" spans="1:56" x14ac:dyDescent="0.25">
      <c r="A101" s="15">
        <f t="shared" si="25"/>
        <v>10018854843.412498</v>
      </c>
      <c r="B101" s="20">
        <v>43233</v>
      </c>
      <c r="D101" s="12"/>
      <c r="E101" s="12"/>
      <c r="I101" s="12">
        <f t="shared" si="36"/>
        <v>31</v>
      </c>
      <c r="J101" s="13">
        <f t="shared" si="27"/>
        <v>781929368.52650619</v>
      </c>
      <c r="K101" s="14">
        <v>42581</v>
      </c>
      <c r="N101" s="12">
        <f t="shared" si="37"/>
        <v>19</v>
      </c>
      <c r="O101" s="13">
        <f t="shared" si="28"/>
        <v>130445884.85703187</v>
      </c>
      <c r="P101" s="14">
        <v>42581</v>
      </c>
      <c r="S101" s="22">
        <f t="shared" si="38"/>
        <v>59</v>
      </c>
      <c r="T101" s="13">
        <f t="shared" si="29"/>
        <v>1312009538.9634638</v>
      </c>
      <c r="U101" s="14">
        <v>42624</v>
      </c>
      <c r="X101" s="22"/>
      <c r="Y101" s="13"/>
      <c r="Z101" s="14"/>
      <c r="AC101" s="22">
        <f t="shared" si="43"/>
        <v>13</v>
      </c>
      <c r="AD101" s="13">
        <f t="shared" si="31"/>
        <v>526391641.59154117</v>
      </c>
      <c r="AE101" s="14">
        <v>42802</v>
      </c>
      <c r="AH101" s="22"/>
      <c r="AI101" s="13"/>
      <c r="AJ101" s="14">
        <v>42802</v>
      </c>
      <c r="AM101" s="22">
        <f t="shared" si="39"/>
        <v>19</v>
      </c>
      <c r="AN101" s="13">
        <f t="shared" si="32"/>
        <v>2693805759.0745487</v>
      </c>
      <c r="AO101" s="14">
        <v>43233</v>
      </c>
      <c r="AR101" s="22"/>
      <c r="AS101" s="13"/>
      <c r="AT101" s="14"/>
      <c r="AW101" s="22"/>
      <c r="AX101" s="13"/>
      <c r="AY101" s="14"/>
      <c r="BB101" s="22"/>
      <c r="BC101" s="13"/>
      <c r="BD101" s="14"/>
    </row>
    <row r="102" spans="1:56" x14ac:dyDescent="0.25">
      <c r="A102" s="15">
        <f t="shared" si="25"/>
        <v>10019731088.184616</v>
      </c>
      <c r="B102" s="20">
        <v>43234</v>
      </c>
      <c r="D102" s="12"/>
      <c r="E102" s="12"/>
      <c r="I102" s="12">
        <f t="shared" si="36"/>
        <v>30</v>
      </c>
      <c r="J102" s="13">
        <f t="shared" si="27"/>
        <v>782020637.79964721</v>
      </c>
      <c r="K102" s="14">
        <v>42582</v>
      </c>
      <c r="N102" s="12">
        <f t="shared" si="37"/>
        <v>18</v>
      </c>
      <c r="O102" s="13">
        <f t="shared" si="28"/>
        <v>130461850.96573964</v>
      </c>
      <c r="P102" s="14">
        <v>42582</v>
      </c>
      <c r="S102" s="22">
        <f t="shared" si="38"/>
        <v>58</v>
      </c>
      <c r="T102" s="13">
        <f t="shared" si="29"/>
        <v>1312163409.159153</v>
      </c>
      <c r="U102" s="14">
        <v>42625</v>
      </c>
      <c r="X102" s="22"/>
      <c r="Y102" s="13"/>
      <c r="Z102" s="14"/>
      <c r="AC102" s="22">
        <f t="shared" si="43"/>
        <v>12</v>
      </c>
      <c r="AD102" s="13">
        <f t="shared" si="31"/>
        <v>526455229.75200301</v>
      </c>
      <c r="AE102" s="14">
        <v>42803</v>
      </c>
      <c r="AH102" s="22"/>
      <c r="AI102" s="13"/>
      <c r="AJ102" s="14">
        <v>42803</v>
      </c>
      <c r="AM102" s="22">
        <f t="shared" si="39"/>
        <v>18</v>
      </c>
      <c r="AN102" s="13">
        <f t="shared" si="32"/>
        <v>2694042353.4193535</v>
      </c>
      <c r="AO102" s="14">
        <v>43234</v>
      </c>
      <c r="AR102" s="22"/>
      <c r="AS102" s="13"/>
      <c r="AT102" s="14"/>
      <c r="AW102" s="22"/>
      <c r="AX102" s="13"/>
      <c r="AY102" s="14"/>
      <c r="BB102" s="22"/>
      <c r="BC102" s="13"/>
      <c r="BD102" s="14"/>
    </row>
    <row r="103" spans="1:56" x14ac:dyDescent="0.25">
      <c r="A103" s="15">
        <f t="shared" si="25"/>
        <v>10020607486.67572</v>
      </c>
      <c r="B103" s="20">
        <v>43235</v>
      </c>
      <c r="D103" s="12"/>
      <c r="E103" s="12"/>
      <c r="I103" s="12">
        <f t="shared" si="36"/>
        <v>29</v>
      </c>
      <c r="J103" s="13">
        <f t="shared" si="27"/>
        <v>782111928.38175285</v>
      </c>
      <c r="K103" s="14">
        <v>42583</v>
      </c>
      <c r="N103" s="12">
        <f t="shared" si="37"/>
        <v>17</v>
      </c>
      <c r="O103" s="13">
        <f t="shared" si="28"/>
        <v>130477820.9833148</v>
      </c>
      <c r="P103" s="14">
        <v>42583</v>
      </c>
      <c r="S103" s="22">
        <f t="shared" si="38"/>
        <v>57</v>
      </c>
      <c r="T103" s="13">
        <f t="shared" si="29"/>
        <v>1312317315.4503331</v>
      </c>
      <c r="U103" s="14">
        <v>42626</v>
      </c>
      <c r="X103" s="22"/>
      <c r="Y103" s="13"/>
      <c r="Z103" s="14"/>
      <c r="AC103" s="22">
        <f t="shared" si="43"/>
        <v>11</v>
      </c>
      <c r="AD103" s="13">
        <f t="shared" si="31"/>
        <v>526518833.27723253</v>
      </c>
      <c r="AE103" s="14">
        <v>42804</v>
      </c>
      <c r="AH103" s="22"/>
      <c r="AI103" s="13"/>
      <c r="AJ103" s="14">
        <v>42804</v>
      </c>
      <c r="AM103" s="22">
        <f t="shared" si="39"/>
        <v>17</v>
      </c>
      <c r="AN103" s="13">
        <f t="shared" si="32"/>
        <v>2694278989.3275127</v>
      </c>
      <c r="AO103" s="14">
        <v>43235</v>
      </c>
      <c r="AR103" s="22"/>
      <c r="AS103" s="13"/>
      <c r="AT103" s="14"/>
      <c r="AW103" s="22"/>
      <c r="AX103" s="13"/>
      <c r="AY103" s="14"/>
      <c r="BB103" s="22"/>
      <c r="BC103" s="13"/>
      <c r="BD103" s="14"/>
    </row>
    <row r="104" spans="1:56" x14ac:dyDescent="0.25">
      <c r="A104" s="15">
        <f t="shared" si="25"/>
        <v>10021484038.926384</v>
      </c>
      <c r="B104" s="20">
        <v>43236</v>
      </c>
      <c r="D104" s="12"/>
      <c r="E104" s="12"/>
      <c r="I104" s="12">
        <f t="shared" si="36"/>
        <v>28</v>
      </c>
      <c r="J104" s="13">
        <f t="shared" si="27"/>
        <v>782203240.28028655</v>
      </c>
      <c r="K104" s="14">
        <v>42584</v>
      </c>
      <c r="N104" s="12">
        <f t="shared" si="37"/>
        <v>16</v>
      </c>
      <c r="O104" s="13">
        <f t="shared" si="28"/>
        <v>130493794.91119297</v>
      </c>
      <c r="P104" s="14">
        <v>42584</v>
      </c>
      <c r="S104" s="22">
        <f t="shared" si="38"/>
        <v>56</v>
      </c>
      <c r="T104" s="13">
        <f t="shared" si="29"/>
        <v>1312471257.8497066</v>
      </c>
      <c r="U104" s="14">
        <v>42627</v>
      </c>
      <c r="X104" s="22"/>
      <c r="Y104" s="13"/>
      <c r="Z104" s="14"/>
      <c r="AC104" s="22">
        <f t="shared" si="43"/>
        <v>10</v>
      </c>
      <c r="AD104" s="13">
        <f t="shared" si="31"/>
        <v>526582452.17279929</v>
      </c>
      <c r="AE104" s="14">
        <v>42805</v>
      </c>
      <c r="AH104" s="22"/>
      <c r="AI104" s="13"/>
      <c r="AJ104" s="14">
        <v>42805</v>
      </c>
      <c r="AM104" s="22">
        <f t="shared" si="39"/>
        <v>16</v>
      </c>
      <c r="AN104" s="13">
        <f t="shared" si="32"/>
        <v>2694515666.809978</v>
      </c>
      <c r="AO104" s="14">
        <v>43236</v>
      </c>
      <c r="AR104" s="22"/>
      <c r="AS104" s="13"/>
      <c r="AT104" s="14"/>
      <c r="AW104" s="22"/>
      <c r="AX104" s="13"/>
      <c r="AY104" s="14"/>
      <c r="BB104" s="22"/>
      <c r="BC104" s="13"/>
      <c r="BD104" s="14"/>
    </row>
    <row r="105" spans="1:56" x14ac:dyDescent="0.25">
      <c r="A105" s="15">
        <f t="shared" si="25"/>
        <v>10022360744.97719</v>
      </c>
      <c r="B105" s="20">
        <v>43237</v>
      </c>
      <c r="D105" s="12"/>
      <c r="E105" s="12"/>
      <c r="I105" s="12">
        <f t="shared" si="36"/>
        <v>27</v>
      </c>
      <c r="J105" s="13">
        <f t="shared" si="27"/>
        <v>782294573.50271547</v>
      </c>
      <c r="K105" s="14">
        <v>42585</v>
      </c>
      <c r="N105" s="12">
        <f t="shared" si="37"/>
        <v>15</v>
      </c>
      <c r="O105" s="13">
        <f t="shared" si="28"/>
        <v>130509772.75081049</v>
      </c>
      <c r="P105" s="14">
        <v>42585</v>
      </c>
      <c r="S105" s="22">
        <f t="shared" si="38"/>
        <v>55</v>
      </c>
      <c r="T105" s="13">
        <f t="shared" si="29"/>
        <v>1312625236.369982</v>
      </c>
      <c r="U105" s="14">
        <v>42628</v>
      </c>
      <c r="X105" s="22"/>
      <c r="Y105" s="13"/>
      <c r="Z105" s="14"/>
      <c r="AC105" s="22">
        <f t="shared" si="43"/>
        <v>9</v>
      </c>
      <c r="AD105" s="13">
        <f t="shared" si="31"/>
        <v>526646086.44427562</v>
      </c>
      <c r="AE105" s="14">
        <v>42806</v>
      </c>
      <c r="AH105" s="22"/>
      <c r="AI105" s="13"/>
      <c r="AJ105" s="14">
        <v>42806</v>
      </c>
      <c r="AM105" s="22">
        <f t="shared" si="39"/>
        <v>15</v>
      </c>
      <c r="AN105" s="13">
        <f t="shared" si="32"/>
        <v>2694752385.8777084</v>
      </c>
      <c r="AO105" s="14">
        <v>43237</v>
      </c>
      <c r="AR105" s="22"/>
      <c r="AS105" s="13"/>
      <c r="AT105" s="14"/>
      <c r="AW105" s="22"/>
      <c r="AX105" s="13"/>
      <c r="AY105" s="14"/>
      <c r="BB105" s="22"/>
      <c r="BC105" s="13"/>
      <c r="BD105" s="14"/>
    </row>
    <row r="106" spans="1:56" x14ac:dyDescent="0.25">
      <c r="A106" s="15">
        <f t="shared" si="25"/>
        <v>10023237604.868738</v>
      </c>
      <c r="B106" s="20">
        <v>43238</v>
      </c>
      <c r="D106" s="12"/>
      <c r="E106" s="12"/>
      <c r="I106" s="12">
        <f t="shared" si="36"/>
        <v>26</v>
      </c>
      <c r="J106" s="13">
        <f t="shared" si="27"/>
        <v>782385928.05651009</v>
      </c>
      <c r="K106" s="14">
        <v>42586</v>
      </c>
      <c r="N106" s="12">
        <f t="shared" si="37"/>
        <v>14</v>
      </c>
      <c r="O106" s="13">
        <f t="shared" si="28"/>
        <v>130525754.50360447</v>
      </c>
      <c r="P106" s="14">
        <v>42586</v>
      </c>
      <c r="S106" s="22">
        <f t="shared" si="38"/>
        <v>54</v>
      </c>
      <c r="T106" s="13">
        <f t="shared" si="29"/>
        <v>1312779251.023874</v>
      </c>
      <c r="U106" s="14">
        <v>42629</v>
      </c>
      <c r="X106" s="22"/>
      <c r="Y106" s="13"/>
      <c r="Z106" s="14"/>
      <c r="AC106" s="22">
        <f t="shared" si="43"/>
        <v>8</v>
      </c>
      <c r="AD106" s="13">
        <f t="shared" si="31"/>
        <v>526709736.09723645</v>
      </c>
      <c r="AE106" s="14">
        <v>42807</v>
      </c>
      <c r="AH106" s="22"/>
      <c r="AI106" s="13"/>
      <c r="AJ106" s="14">
        <v>42807</v>
      </c>
      <c r="AM106" s="22">
        <f t="shared" si="39"/>
        <v>14</v>
      </c>
      <c r="AN106" s="13">
        <f t="shared" si="32"/>
        <v>2694989146.5416636</v>
      </c>
      <c r="AO106" s="14">
        <v>43238</v>
      </c>
      <c r="AR106" s="22"/>
      <c r="AS106" s="13"/>
      <c r="AT106" s="14"/>
      <c r="AW106" s="22"/>
      <c r="AX106" s="13"/>
      <c r="AY106" s="14"/>
      <c r="BB106" s="22"/>
      <c r="BC106" s="13"/>
      <c r="BD106" s="14"/>
    </row>
    <row r="107" spans="1:56" x14ac:dyDescent="0.25">
      <c r="A107" s="15">
        <f t="shared" si="25"/>
        <v>10024114618.641647</v>
      </c>
      <c r="B107" s="20">
        <v>43239</v>
      </c>
      <c r="D107" s="12"/>
      <c r="E107" s="12"/>
      <c r="I107" s="12">
        <f t="shared" si="36"/>
        <v>25</v>
      </c>
      <c r="J107" s="13">
        <f t="shared" si="27"/>
        <v>782477303.94914401</v>
      </c>
      <c r="K107" s="14">
        <v>42587</v>
      </c>
      <c r="N107" s="12">
        <f t="shared" si="37"/>
        <v>13</v>
      </c>
      <c r="O107" s="13">
        <f t="shared" si="28"/>
        <v>130541740.17101263</v>
      </c>
      <c r="P107" s="14">
        <v>42587</v>
      </c>
      <c r="S107" s="22">
        <f t="shared" si="38"/>
        <v>53</v>
      </c>
      <c r="T107" s="13">
        <f t="shared" si="29"/>
        <v>1312933301.8241034</v>
      </c>
      <c r="U107" s="14">
        <v>42630</v>
      </c>
      <c r="X107" s="22"/>
      <c r="Y107" s="13"/>
      <c r="Z107" s="14"/>
      <c r="AC107" s="22">
        <f t="shared" si="43"/>
        <v>7</v>
      </c>
      <c r="AD107" s="13">
        <f t="shared" si="31"/>
        <v>526773401.13725936</v>
      </c>
      <c r="AE107" s="14">
        <v>42808</v>
      </c>
      <c r="AH107" s="22"/>
      <c r="AI107" s="13"/>
      <c r="AJ107" s="14">
        <v>42808</v>
      </c>
      <c r="AM107" s="22">
        <f t="shared" si="39"/>
        <v>13</v>
      </c>
      <c r="AN107" s="13">
        <f t="shared" si="32"/>
        <v>2695225948.8128099</v>
      </c>
      <c r="AO107" s="14">
        <v>43239</v>
      </c>
      <c r="AR107" s="22"/>
      <c r="AS107" s="13"/>
      <c r="AT107" s="14"/>
      <c r="AW107" s="22"/>
      <c r="AX107" s="13"/>
      <c r="AY107" s="14"/>
      <c r="BB107" s="22"/>
      <c r="BC107" s="13"/>
      <c r="BD107" s="14"/>
    </row>
    <row r="108" spans="1:56" x14ac:dyDescent="0.25">
      <c r="A108" s="15">
        <f t="shared" si="25"/>
        <v>10024991786.336538</v>
      </c>
      <c r="B108" s="20">
        <v>43240</v>
      </c>
      <c r="D108" s="12"/>
      <c r="E108" s="12"/>
      <c r="I108" s="12">
        <f t="shared" si="36"/>
        <v>24</v>
      </c>
      <c r="J108" s="13">
        <f t="shared" si="27"/>
        <v>782568701.18809521</v>
      </c>
      <c r="K108" s="14">
        <v>42588</v>
      </c>
      <c r="N108" s="12">
        <f t="shared" si="37"/>
        <v>12</v>
      </c>
      <c r="O108" s="13">
        <f t="shared" si="28"/>
        <v>130557729.75447342</v>
      </c>
      <c r="P108" s="14">
        <v>42588</v>
      </c>
      <c r="S108" s="22">
        <f t="shared" si="38"/>
        <v>52</v>
      </c>
      <c r="T108" s="13">
        <f t="shared" si="29"/>
        <v>1313087388.7833962</v>
      </c>
      <c r="U108" s="14">
        <v>42631</v>
      </c>
      <c r="X108" s="22"/>
      <c r="Y108" s="13"/>
      <c r="Z108" s="14"/>
      <c r="AC108" s="22">
        <f t="shared" si="43"/>
        <v>6</v>
      </c>
      <c r="AD108" s="13">
        <f t="shared" si="31"/>
        <v>526837081.56992465</v>
      </c>
      <c r="AE108" s="14">
        <v>42809</v>
      </c>
      <c r="AH108" s="22"/>
      <c r="AI108" s="13"/>
      <c r="AJ108" s="14">
        <v>42809</v>
      </c>
      <c r="AM108" s="22">
        <f t="shared" si="39"/>
        <v>12</v>
      </c>
      <c r="AN108" s="13">
        <f t="shared" si="32"/>
        <v>2695462792.7021141</v>
      </c>
      <c r="AO108" s="14">
        <v>43240</v>
      </c>
      <c r="AR108" s="22"/>
      <c r="AS108" s="13"/>
      <c r="AT108" s="14"/>
      <c r="AW108" s="22"/>
      <c r="AX108" s="13"/>
      <c r="AY108" s="14"/>
      <c r="BB108" s="22"/>
      <c r="BC108" s="13"/>
      <c r="BD108" s="14"/>
    </row>
    <row r="109" spans="1:56" x14ac:dyDescent="0.25">
      <c r="A109" s="15">
        <f t="shared" si="25"/>
        <v>10025869107.994057</v>
      </c>
      <c r="B109" s="20">
        <v>43241</v>
      </c>
      <c r="D109" s="12"/>
      <c r="E109" s="12"/>
      <c r="I109" s="12">
        <f t="shared" si="36"/>
        <v>23</v>
      </c>
      <c r="J109" s="13">
        <f t="shared" si="27"/>
        <v>782660119.78084433</v>
      </c>
      <c r="K109" s="14">
        <v>42589</v>
      </c>
      <c r="N109" s="12">
        <f t="shared" si="37"/>
        <v>11</v>
      </c>
      <c r="O109" s="13">
        <f t="shared" si="28"/>
        <v>130573723.25542599</v>
      </c>
      <c r="P109" s="14">
        <v>42589</v>
      </c>
      <c r="S109" s="22">
        <f t="shared" si="38"/>
        <v>51</v>
      </c>
      <c r="T109" s="13">
        <f t="shared" si="29"/>
        <v>1313241511.9144847</v>
      </c>
      <c r="U109" s="14">
        <v>42632</v>
      </c>
      <c r="X109" s="22"/>
      <c r="Y109" s="13"/>
      <c r="Z109" s="14"/>
      <c r="AC109" s="22">
        <f t="shared" si="43"/>
        <v>5</v>
      </c>
      <c r="AD109" s="13">
        <f t="shared" si="31"/>
        <v>526900777.40081537</v>
      </c>
      <c r="AE109" s="14">
        <v>42810</v>
      </c>
      <c r="AH109" s="22"/>
      <c r="AI109" s="13"/>
      <c r="AJ109" s="14">
        <v>42810</v>
      </c>
      <c r="AM109" s="22">
        <f t="shared" si="39"/>
        <v>11</v>
      </c>
      <c r="AN109" s="13">
        <f t="shared" si="32"/>
        <v>2695699678.2205501</v>
      </c>
      <c r="AO109" s="14">
        <v>43241</v>
      </c>
      <c r="AR109" s="22"/>
      <c r="AS109" s="13"/>
      <c r="AT109" s="14"/>
      <c r="AW109" s="22"/>
      <c r="AX109" s="13"/>
      <c r="AY109" s="14"/>
      <c r="BB109" s="22"/>
      <c r="BC109" s="13"/>
      <c r="BD109" s="14"/>
    </row>
    <row r="110" spans="1:56" x14ac:dyDescent="0.25">
      <c r="A110" s="15">
        <f t="shared" si="25"/>
        <v>10026746583.654863</v>
      </c>
      <c r="B110" s="20">
        <v>43242</v>
      </c>
      <c r="D110" s="12"/>
      <c r="E110" s="12"/>
      <c r="I110" s="12">
        <f t="shared" si="36"/>
        <v>22</v>
      </c>
      <c r="J110" s="13">
        <f t="shared" si="27"/>
        <v>782751559.73487568</v>
      </c>
      <c r="K110" s="14">
        <v>42590</v>
      </c>
      <c r="N110" s="12">
        <f t="shared" si="37"/>
        <v>10</v>
      </c>
      <c r="O110" s="13">
        <f t="shared" si="28"/>
        <v>130589720.67531027</v>
      </c>
      <c r="P110" s="14">
        <v>42590</v>
      </c>
      <c r="S110" s="22">
        <f t="shared" si="38"/>
        <v>50</v>
      </c>
      <c r="T110" s="13">
        <f t="shared" si="29"/>
        <v>1313395671.2301083</v>
      </c>
      <c r="U110" s="14">
        <v>42633</v>
      </c>
      <c r="X110" s="22"/>
      <c r="Y110" s="13"/>
      <c r="Z110" s="14"/>
      <c r="AC110" s="22">
        <f t="shared" si="43"/>
        <v>4</v>
      </c>
      <c r="AD110" s="13">
        <f t="shared" si="31"/>
        <v>526964488.63551724</v>
      </c>
      <c r="AE110" s="14">
        <v>42811</v>
      </c>
      <c r="AH110" s="22"/>
      <c r="AI110" s="13"/>
      <c r="AJ110" s="14">
        <v>42811</v>
      </c>
      <c r="AM110" s="22">
        <f t="shared" si="39"/>
        <v>10</v>
      </c>
      <c r="AN110" s="13">
        <f t="shared" si="32"/>
        <v>2695936605.3790936</v>
      </c>
      <c r="AO110" s="14">
        <v>43242</v>
      </c>
      <c r="AR110" s="22"/>
      <c r="AS110" s="13"/>
      <c r="AT110" s="14"/>
      <c r="AW110" s="22"/>
      <c r="AX110" s="13"/>
      <c r="AY110" s="14"/>
      <c r="BB110" s="22"/>
      <c r="BC110" s="13"/>
      <c r="BD110" s="14"/>
    </row>
    <row r="111" spans="1:56" x14ac:dyDescent="0.25">
      <c r="A111" s="15">
        <f t="shared" si="25"/>
        <v>10027624213.359625</v>
      </c>
      <c r="B111" s="20">
        <v>43243</v>
      </c>
      <c r="D111" s="12"/>
      <c r="E111" s="12"/>
      <c r="I111" s="12">
        <f t="shared" si="36"/>
        <v>21</v>
      </c>
      <c r="J111" s="13">
        <f t="shared" si="27"/>
        <v>782843021.05767751</v>
      </c>
      <c r="K111" s="14">
        <v>42591</v>
      </c>
      <c r="N111" s="12">
        <f t="shared" si="37"/>
        <v>9</v>
      </c>
      <c r="O111" s="13">
        <f t="shared" si="28"/>
        <v>130605722.01556681</v>
      </c>
      <c r="P111" s="14">
        <v>42591</v>
      </c>
      <c r="S111" s="22">
        <f t="shared" si="38"/>
        <v>49</v>
      </c>
      <c r="T111" s="13">
        <f t="shared" si="29"/>
        <v>1313549866.7430105</v>
      </c>
      <c r="U111" s="14">
        <v>42634</v>
      </c>
      <c r="X111" s="22"/>
      <c r="Y111" s="13"/>
      <c r="Z111" s="14"/>
      <c r="AC111" s="22">
        <f t="shared" si="43"/>
        <v>3</v>
      </c>
      <c r="AD111" s="13">
        <f t="shared" si="31"/>
        <v>527028215.27961862</v>
      </c>
      <c r="AE111" s="14">
        <v>42812</v>
      </c>
      <c r="AH111" s="22"/>
      <c r="AI111" s="13"/>
      <c r="AJ111" s="14">
        <v>42812</v>
      </c>
      <c r="AM111" s="22">
        <f t="shared" si="39"/>
        <v>9</v>
      </c>
      <c r="AN111" s="13">
        <f t="shared" si="32"/>
        <v>2696173574.1887264</v>
      </c>
      <c r="AO111" s="14">
        <v>43243</v>
      </c>
      <c r="AR111" s="22"/>
      <c r="AS111" s="13"/>
      <c r="AT111" s="14"/>
      <c r="AW111" s="22"/>
      <c r="AX111" s="13"/>
      <c r="AY111" s="14"/>
      <c r="BB111" s="22"/>
      <c r="BC111" s="13"/>
      <c r="BD111" s="14"/>
    </row>
    <row r="112" spans="1:56" x14ac:dyDescent="0.25">
      <c r="A112" s="15">
        <f t="shared" ref="A112:A175" si="44">+AN112+AS94+AX88+BC73</f>
        <v>10028501997.149027</v>
      </c>
      <c r="B112" s="20">
        <v>43244</v>
      </c>
      <c r="D112" s="12"/>
      <c r="E112" s="12"/>
      <c r="I112" s="12">
        <f t="shared" si="36"/>
        <v>20</v>
      </c>
      <c r="J112" s="13">
        <f t="shared" si="27"/>
        <v>782934503.75674105</v>
      </c>
      <c r="K112" s="14">
        <v>42592</v>
      </c>
      <c r="N112" s="12">
        <f t="shared" si="37"/>
        <v>8</v>
      </c>
      <c r="O112" s="13">
        <f t="shared" si="28"/>
        <v>130621727.27763687</v>
      </c>
      <c r="P112" s="14">
        <v>42592</v>
      </c>
      <c r="S112" s="22">
        <f t="shared" si="38"/>
        <v>48</v>
      </c>
      <c r="T112" s="13">
        <f t="shared" si="29"/>
        <v>1313704098.4659424</v>
      </c>
      <c r="U112" s="14">
        <v>42635</v>
      </c>
      <c r="X112" s="22"/>
      <c r="Y112" s="13"/>
      <c r="Z112" s="14"/>
      <c r="AC112" s="22">
        <f t="shared" si="43"/>
        <v>2</v>
      </c>
      <c r="AD112" s="13">
        <f t="shared" si="31"/>
        <v>527091957.33871073</v>
      </c>
      <c r="AE112" s="14">
        <v>42813</v>
      </c>
      <c r="AH112" s="22"/>
      <c r="AI112" s="13"/>
      <c r="AJ112" s="14">
        <v>42813</v>
      </c>
      <c r="AM112" s="22">
        <f t="shared" si="39"/>
        <v>8</v>
      </c>
      <c r="AN112" s="13">
        <f t="shared" si="32"/>
        <v>2696410584.6604304</v>
      </c>
      <c r="AO112" s="14">
        <v>43244</v>
      </c>
      <c r="AR112" s="22"/>
      <c r="AS112" s="13"/>
      <c r="AT112" s="14"/>
      <c r="AW112" s="22"/>
      <c r="AX112" s="13"/>
      <c r="AY112" s="14"/>
      <c r="BB112" s="22"/>
      <c r="BC112" s="13"/>
      <c r="BD112" s="14"/>
    </row>
    <row r="113" spans="1:56" x14ac:dyDescent="0.25">
      <c r="A113" s="15">
        <f t="shared" si="44"/>
        <v>10029379935.063772</v>
      </c>
      <c r="B113" s="20">
        <v>43245</v>
      </c>
      <c r="D113" s="12"/>
      <c r="E113" s="12"/>
      <c r="I113" s="12">
        <f t="shared" si="36"/>
        <v>19</v>
      </c>
      <c r="J113" s="13">
        <f t="shared" si="27"/>
        <v>783026007.83956122</v>
      </c>
      <c r="K113" s="14">
        <v>42593</v>
      </c>
      <c r="N113" s="12">
        <f t="shared" si="37"/>
        <v>7</v>
      </c>
      <c r="O113" s="13">
        <f t="shared" si="28"/>
        <v>130637736.46296248</v>
      </c>
      <c r="P113" s="14">
        <v>42593</v>
      </c>
      <c r="S113" s="22">
        <f t="shared" si="38"/>
        <v>47</v>
      </c>
      <c r="T113" s="13">
        <f t="shared" si="29"/>
        <v>1313858366.4116597</v>
      </c>
      <c r="U113" s="14">
        <v>42636</v>
      </c>
      <c r="X113" s="22"/>
      <c r="Y113" s="13"/>
      <c r="Z113" s="14"/>
      <c r="AC113" s="22">
        <f t="shared" si="43"/>
        <v>1</v>
      </c>
      <c r="AD113" s="13">
        <f t="shared" si="31"/>
        <v>527155714.81838733</v>
      </c>
      <c r="AE113" s="14">
        <v>42814</v>
      </c>
      <c r="AH113" s="22"/>
      <c r="AI113" s="13"/>
      <c r="AJ113" s="14">
        <v>42814</v>
      </c>
      <c r="AM113" s="22">
        <f t="shared" si="39"/>
        <v>7</v>
      </c>
      <c r="AN113" s="13">
        <f t="shared" si="32"/>
        <v>2696647636.8051958</v>
      </c>
      <c r="AO113" s="14">
        <v>43245</v>
      </c>
      <c r="AR113" s="22"/>
      <c r="AS113" s="13"/>
      <c r="AT113" s="14"/>
      <c r="AW113" s="22"/>
      <c r="AX113" s="13"/>
      <c r="AY113" s="14"/>
      <c r="BB113" s="22"/>
      <c r="BC113" s="13"/>
      <c r="BD113" s="14"/>
    </row>
    <row r="114" spans="1:56" x14ac:dyDescent="0.25">
      <c r="A114" s="15">
        <f t="shared" si="44"/>
        <v>10030258027.144573</v>
      </c>
      <c r="B114" s="20">
        <v>43246</v>
      </c>
      <c r="D114" s="12"/>
      <c r="E114" s="12"/>
      <c r="I114" s="12">
        <f t="shared" si="36"/>
        <v>18</v>
      </c>
      <c r="J114" s="13">
        <f t="shared" si="27"/>
        <v>783117533.31363666</v>
      </c>
      <c r="K114" s="14">
        <v>42594</v>
      </c>
      <c r="N114" s="12">
        <f t="shared" si="37"/>
        <v>6</v>
      </c>
      <c r="O114" s="13">
        <f t="shared" si="28"/>
        <v>130653749.57298626</v>
      </c>
      <c r="P114" s="14">
        <v>42594</v>
      </c>
      <c r="S114" s="22">
        <f t="shared" si="38"/>
        <v>46</v>
      </c>
      <c r="T114" s="13">
        <f t="shared" si="29"/>
        <v>1314012670.5929253</v>
      </c>
      <c r="U114" s="14">
        <v>42637</v>
      </c>
      <c r="X114" s="22"/>
      <c r="Y114" s="13"/>
      <c r="Z114" s="14"/>
      <c r="AC114" s="22">
        <f t="shared" si="43"/>
        <v>0</v>
      </c>
      <c r="AD114" s="13">
        <f t="shared" si="31"/>
        <v>527219487.72424501</v>
      </c>
      <c r="AE114" s="14">
        <v>42815</v>
      </c>
      <c r="AH114" s="22"/>
      <c r="AI114" s="13"/>
      <c r="AJ114" s="14">
        <v>42815</v>
      </c>
      <c r="AM114" s="22">
        <f t="shared" si="39"/>
        <v>6</v>
      </c>
      <c r="AN114" s="13">
        <f t="shared" si="32"/>
        <v>2696884730.6340132</v>
      </c>
      <c r="AO114" s="14">
        <v>43246</v>
      </c>
      <c r="AR114" s="22"/>
      <c r="AS114" s="13"/>
      <c r="AT114" s="14"/>
      <c r="AW114" s="22"/>
      <c r="AX114" s="13"/>
      <c r="AY114" s="14"/>
      <c r="BB114" s="22"/>
      <c r="BC114" s="13"/>
      <c r="BD114" s="14"/>
    </row>
    <row r="115" spans="1:56" x14ac:dyDescent="0.25">
      <c r="A115" s="15">
        <f t="shared" si="44"/>
        <v>10031136273.432159</v>
      </c>
      <c r="B115" s="20">
        <v>43247</v>
      </c>
      <c r="D115" s="12"/>
      <c r="E115" s="12"/>
      <c r="I115" s="12">
        <f t="shared" si="36"/>
        <v>17</v>
      </c>
      <c r="J115" s="13">
        <f t="shared" si="27"/>
        <v>783209080.1864692</v>
      </c>
      <c r="K115" s="14">
        <v>42595</v>
      </c>
      <c r="N115" s="12">
        <f t="shared" si="37"/>
        <v>5</v>
      </c>
      <c r="O115" s="13">
        <f t="shared" si="28"/>
        <v>130669766.60915171</v>
      </c>
      <c r="P115" s="14">
        <v>42595</v>
      </c>
      <c r="S115" s="22">
        <f t="shared" si="38"/>
        <v>45</v>
      </c>
      <c r="T115" s="13">
        <f t="shared" si="29"/>
        <v>1314167011.0225077</v>
      </c>
      <c r="U115" s="14">
        <v>42638</v>
      </c>
      <c r="X115" s="22"/>
      <c r="Y115" s="13"/>
      <c r="Z115" s="14"/>
      <c r="AC115" s="22"/>
      <c r="AD115" s="13"/>
      <c r="AE115" s="14"/>
      <c r="AH115" s="22"/>
      <c r="AI115" s="13"/>
      <c r="AJ115" s="14"/>
      <c r="AM115" s="22">
        <f t="shared" si="39"/>
        <v>5</v>
      </c>
      <c r="AN115" s="13">
        <f t="shared" si="32"/>
        <v>2697121866.1578789</v>
      </c>
      <c r="AO115" s="14">
        <v>43247</v>
      </c>
      <c r="AR115" s="22"/>
      <c r="AS115" s="13"/>
      <c r="AT115" s="14"/>
      <c r="AW115" s="22"/>
      <c r="AX115" s="13"/>
      <c r="AY115" s="14"/>
      <c r="BB115" s="22"/>
      <c r="BC115" s="13"/>
      <c r="BD115" s="14"/>
    </row>
    <row r="116" spans="1:56" x14ac:dyDescent="0.25">
      <c r="A116" s="15">
        <f t="shared" si="44"/>
        <v>10032014673.967272</v>
      </c>
      <c r="B116" s="20">
        <v>43248</v>
      </c>
      <c r="D116" s="12"/>
      <c r="E116" s="12"/>
      <c r="I116" s="12">
        <f t="shared" si="36"/>
        <v>16</v>
      </c>
      <c r="J116" s="13">
        <f t="shared" si="27"/>
        <v>783300648.46556413</v>
      </c>
      <c r="K116" s="14">
        <v>42596</v>
      </c>
      <c r="N116" s="12">
        <f t="shared" si="37"/>
        <v>4</v>
      </c>
      <c r="O116" s="13">
        <f t="shared" si="28"/>
        <v>130685787.57290289</v>
      </c>
      <c r="P116" s="14">
        <v>42596</v>
      </c>
      <c r="S116" s="22">
        <f t="shared" si="38"/>
        <v>44</v>
      </c>
      <c r="T116" s="13">
        <f t="shared" si="29"/>
        <v>1314321387.7131808</v>
      </c>
      <c r="U116" s="14">
        <v>42639</v>
      </c>
      <c r="X116" s="22"/>
      <c r="Y116" s="13"/>
      <c r="Z116" s="14"/>
      <c r="AC116" s="22"/>
      <c r="AD116" s="13"/>
      <c r="AE116" s="14"/>
      <c r="AH116" s="22"/>
      <c r="AI116" s="13"/>
      <c r="AJ116" s="14"/>
      <c r="AM116" s="22">
        <f t="shared" si="39"/>
        <v>4</v>
      </c>
      <c r="AN116" s="13">
        <f t="shared" si="32"/>
        <v>2697359043.3877916</v>
      </c>
      <c r="AO116" s="14">
        <v>43248</v>
      </c>
      <c r="AR116" s="22"/>
      <c r="AS116" s="13"/>
      <c r="AT116" s="14"/>
      <c r="AW116" s="22"/>
      <c r="AX116" s="13"/>
      <c r="AY116" s="14"/>
      <c r="BB116" s="22"/>
      <c r="BC116" s="13"/>
      <c r="BD116" s="14"/>
    </row>
    <row r="117" spans="1:56" x14ac:dyDescent="0.25">
      <c r="A117" s="15">
        <f t="shared" si="44"/>
        <v>10032893228.790672</v>
      </c>
      <c r="B117" s="20">
        <v>43249</v>
      </c>
      <c r="D117" s="12"/>
      <c r="E117" s="12"/>
      <c r="I117" s="12">
        <f t="shared" si="36"/>
        <v>15</v>
      </c>
      <c r="J117" s="13">
        <f t="shared" si="27"/>
        <v>783392238.15843081</v>
      </c>
      <c r="K117" s="14">
        <v>42597</v>
      </c>
      <c r="N117" s="12">
        <f t="shared" si="37"/>
        <v>3</v>
      </c>
      <c r="O117" s="13">
        <f t="shared" si="28"/>
        <v>130701812.46568462</v>
      </c>
      <c r="P117" s="14">
        <v>42597</v>
      </c>
      <c r="S117" s="22">
        <f t="shared" si="38"/>
        <v>43</v>
      </c>
      <c r="T117" s="13">
        <f t="shared" si="29"/>
        <v>1314475800.6777251</v>
      </c>
      <c r="U117" s="14">
        <v>42640</v>
      </c>
      <c r="X117" s="22"/>
      <c r="Y117" s="13"/>
      <c r="Z117" s="14"/>
      <c r="AC117" s="22"/>
      <c r="AD117" s="13"/>
      <c r="AE117" s="14"/>
      <c r="AH117" s="22"/>
      <c r="AI117" s="13"/>
      <c r="AJ117" s="14"/>
      <c r="AM117" s="22">
        <f t="shared" si="39"/>
        <v>3</v>
      </c>
      <c r="AN117" s="13">
        <f t="shared" si="32"/>
        <v>2697596262.3347564</v>
      </c>
      <c r="AO117" s="14">
        <v>43249</v>
      </c>
      <c r="AR117" s="22"/>
      <c r="AS117" s="13"/>
      <c r="AT117" s="14"/>
      <c r="AW117" s="22"/>
      <c r="AX117" s="13"/>
      <c r="AY117" s="14"/>
      <c r="BB117" s="22"/>
      <c r="BC117" s="13"/>
      <c r="BD117" s="14"/>
    </row>
    <row r="118" spans="1:56" x14ac:dyDescent="0.25">
      <c r="A118" s="15">
        <f t="shared" si="44"/>
        <v>10033771937.943132</v>
      </c>
      <c r="B118" s="20">
        <v>43250</v>
      </c>
      <c r="D118" s="12"/>
      <c r="E118" s="12"/>
      <c r="I118" s="12">
        <f t="shared" si="36"/>
        <v>14</v>
      </c>
      <c r="J118" s="13">
        <f t="shared" si="27"/>
        <v>783483849.27258146</v>
      </c>
      <c r="K118" s="14">
        <v>42598</v>
      </c>
      <c r="N118" s="12">
        <f t="shared" si="37"/>
        <v>2</v>
      </c>
      <c r="O118" s="13">
        <f t="shared" si="28"/>
        <v>130717841.28894243</v>
      </c>
      <c r="P118" s="14">
        <v>42598</v>
      </c>
      <c r="S118" s="22">
        <f t="shared" si="38"/>
        <v>42</v>
      </c>
      <c r="T118" s="13">
        <f t="shared" si="29"/>
        <v>1314630249.9289274</v>
      </c>
      <c r="U118" s="14">
        <v>42641</v>
      </c>
      <c r="X118" s="22"/>
      <c r="Y118" s="13"/>
      <c r="Z118" s="14"/>
      <c r="AC118" s="22"/>
      <c r="AD118" s="13"/>
      <c r="AE118" s="14"/>
      <c r="AH118" s="22"/>
      <c r="AI118" s="13"/>
      <c r="AJ118" s="14"/>
      <c r="AM118" s="22">
        <f t="shared" si="39"/>
        <v>2</v>
      </c>
      <c r="AN118" s="13">
        <f t="shared" si="32"/>
        <v>2697833523.0097795</v>
      </c>
      <c r="AO118" s="14">
        <v>43250</v>
      </c>
      <c r="AR118" s="22"/>
      <c r="AS118" s="13"/>
      <c r="AT118" s="14"/>
      <c r="AW118" s="22"/>
      <c r="AX118" s="13"/>
      <c r="AY118" s="14"/>
      <c r="BB118" s="22"/>
      <c r="BC118" s="13"/>
      <c r="BD118" s="14"/>
    </row>
    <row r="119" spans="1:56" x14ac:dyDescent="0.25">
      <c r="A119" s="15">
        <f t="shared" si="44"/>
        <v>10034650801.465433</v>
      </c>
      <c r="B119" s="20">
        <v>43251</v>
      </c>
      <c r="D119" s="12"/>
      <c r="E119" s="12"/>
      <c r="I119" s="12">
        <f t="shared" si="36"/>
        <v>13</v>
      </c>
      <c r="J119" s="13">
        <f t="shared" si="27"/>
        <v>783575481.81553185</v>
      </c>
      <c r="K119" s="14">
        <v>42599</v>
      </c>
      <c r="N119" s="12">
        <f t="shared" si="37"/>
        <v>1</v>
      </c>
      <c r="O119" s="13">
        <f t="shared" si="28"/>
        <v>130733874.04412258</v>
      </c>
      <c r="P119" s="14">
        <v>42599</v>
      </c>
      <c r="S119" s="22">
        <f t="shared" si="38"/>
        <v>41</v>
      </c>
      <c r="T119" s="13">
        <f t="shared" si="29"/>
        <v>1314784735.4795797</v>
      </c>
      <c r="U119" s="14">
        <v>42642</v>
      </c>
      <c r="X119" s="22"/>
      <c r="Y119" s="13"/>
      <c r="Z119" s="14"/>
      <c r="AC119" s="22"/>
      <c r="AD119" s="13"/>
      <c r="AE119" s="14"/>
      <c r="AH119" s="22"/>
      <c r="AI119" s="13"/>
      <c r="AJ119" s="14"/>
      <c r="AM119" s="22">
        <f t="shared" si="39"/>
        <v>1</v>
      </c>
      <c r="AN119" s="13">
        <f t="shared" si="32"/>
        <v>2698070825.4238725</v>
      </c>
      <c r="AO119" s="14">
        <v>43251</v>
      </c>
      <c r="AR119" s="22"/>
      <c r="AS119" s="13"/>
      <c r="AT119" s="14"/>
      <c r="AW119" s="22"/>
      <c r="AX119" s="13"/>
      <c r="AY119" s="14"/>
      <c r="BB119" s="22"/>
      <c r="BC119" s="13"/>
      <c r="BD119" s="14"/>
    </row>
    <row r="120" spans="1:56" x14ac:dyDescent="0.25">
      <c r="A120" s="15">
        <f t="shared" si="44"/>
        <v>10035529819.39838</v>
      </c>
      <c r="B120" s="20">
        <v>43252</v>
      </c>
      <c r="D120" s="12"/>
      <c r="E120" s="12"/>
      <c r="I120" s="12">
        <f t="shared" si="36"/>
        <v>12</v>
      </c>
      <c r="J120" s="13">
        <f t="shared" si="27"/>
        <v>783667135.79480195</v>
      </c>
      <c r="K120" s="14">
        <v>42600</v>
      </c>
      <c r="N120" s="12">
        <f t="shared" si="37"/>
        <v>0</v>
      </c>
      <c r="O120" s="13">
        <f t="shared" si="28"/>
        <v>130749910.73267199</v>
      </c>
      <c r="P120" s="14">
        <v>42600</v>
      </c>
      <c r="S120" s="22">
        <f t="shared" si="38"/>
        <v>40</v>
      </c>
      <c r="T120" s="13">
        <f t="shared" si="29"/>
        <v>1314939257.3424809</v>
      </c>
      <c r="U120" s="14">
        <v>42643</v>
      </c>
      <c r="X120" s="22"/>
      <c r="Y120" s="13"/>
      <c r="Z120" s="14"/>
      <c r="AC120" s="22"/>
      <c r="AD120" s="13"/>
      <c r="AE120" s="14"/>
      <c r="AH120" s="22"/>
      <c r="AI120" s="13"/>
      <c r="AJ120" s="14"/>
      <c r="AM120" s="22">
        <f t="shared" si="39"/>
        <v>0</v>
      </c>
      <c r="AN120" s="13">
        <f t="shared" si="32"/>
        <v>2698308169.5880504</v>
      </c>
      <c r="AO120" s="14">
        <v>43252</v>
      </c>
      <c r="AR120" s="22"/>
      <c r="AS120" s="13"/>
      <c r="AT120" s="14"/>
      <c r="AW120" s="22"/>
      <c r="AX120" s="13"/>
      <c r="AY120" s="14"/>
      <c r="BB120" s="22"/>
      <c r="BC120" s="13"/>
      <c r="BD120" s="14"/>
    </row>
    <row r="121" spans="1:56" x14ac:dyDescent="0.25">
      <c r="A121" s="15">
        <f t="shared" si="44"/>
        <v>0</v>
      </c>
      <c r="B121" s="20">
        <v>43253</v>
      </c>
      <c r="D121" s="12"/>
      <c r="E121" s="12"/>
      <c r="I121" s="12">
        <f t="shared" si="36"/>
        <v>11</v>
      </c>
      <c r="J121" s="13">
        <f t="shared" si="27"/>
        <v>783758811.2179147</v>
      </c>
      <c r="K121" s="14">
        <v>42601</v>
      </c>
      <c r="N121" s="12"/>
      <c r="O121" s="13"/>
      <c r="S121" s="22">
        <f t="shared" si="38"/>
        <v>39</v>
      </c>
      <c r="T121" s="13">
        <f t="shared" si="29"/>
        <v>1315093815.5304346</v>
      </c>
      <c r="U121" s="14">
        <v>42644</v>
      </c>
      <c r="X121" s="22"/>
      <c r="Y121" s="13"/>
      <c r="Z121" s="14"/>
      <c r="AC121" s="22"/>
      <c r="AD121" s="13"/>
      <c r="AE121" s="14"/>
      <c r="AH121" s="22"/>
      <c r="AI121" s="13"/>
      <c r="AJ121" s="14"/>
      <c r="AM121" s="22"/>
      <c r="AN121" s="13"/>
      <c r="AO121" s="14"/>
      <c r="AR121" s="22"/>
      <c r="AS121" s="13"/>
      <c r="AT121" s="14"/>
      <c r="AW121" s="22"/>
      <c r="AX121" s="13"/>
      <c r="AY121" s="14"/>
      <c r="BB121" s="22"/>
      <c r="BC121" s="13"/>
      <c r="BD121" s="14"/>
    </row>
    <row r="122" spans="1:56" x14ac:dyDescent="0.25">
      <c r="A122" s="15">
        <f t="shared" si="44"/>
        <v>0</v>
      </c>
      <c r="B122" s="20">
        <v>43254</v>
      </c>
      <c r="D122" s="12"/>
      <c r="E122" s="12"/>
      <c r="I122" s="12">
        <f t="shared" si="36"/>
        <v>10</v>
      </c>
      <c r="J122" s="13">
        <f t="shared" si="27"/>
        <v>783850508.09239626</v>
      </c>
      <c r="K122" s="14">
        <v>42602</v>
      </c>
      <c r="N122" s="12"/>
      <c r="O122" s="13"/>
      <c r="S122" s="22">
        <f t="shared" si="38"/>
        <v>38</v>
      </c>
      <c r="T122" s="13">
        <f t="shared" si="29"/>
        <v>1315248410.0562522</v>
      </c>
      <c r="U122" s="14">
        <v>42645</v>
      </c>
      <c r="X122" s="22"/>
      <c r="Y122" s="13"/>
      <c r="Z122" s="14"/>
      <c r="AC122" s="22"/>
      <c r="AD122" s="13"/>
      <c r="AE122" s="14"/>
      <c r="AH122" s="22"/>
      <c r="AI122" s="13"/>
      <c r="AJ122" s="14"/>
      <c r="AM122" s="22"/>
      <c r="AN122" s="13"/>
      <c r="AO122" s="14"/>
      <c r="AR122" s="22"/>
      <c r="AS122" s="13"/>
      <c r="AT122" s="14"/>
      <c r="AW122" s="22"/>
      <c r="AX122" s="13"/>
      <c r="AY122" s="14"/>
      <c r="BB122" s="22"/>
      <c r="BC122" s="13"/>
      <c r="BD122" s="14"/>
    </row>
    <row r="123" spans="1:56" x14ac:dyDescent="0.25">
      <c r="A123" s="15">
        <f t="shared" si="44"/>
        <v>0</v>
      </c>
      <c r="B123" s="20">
        <v>43255</v>
      </c>
      <c r="D123" s="12"/>
      <c r="E123" s="12"/>
      <c r="I123" s="12">
        <f t="shared" si="36"/>
        <v>9</v>
      </c>
      <c r="J123" s="13">
        <f t="shared" si="27"/>
        <v>783942226.42577708</v>
      </c>
      <c r="K123" s="14">
        <v>42603</v>
      </c>
      <c r="N123" s="12"/>
      <c r="O123" s="13"/>
      <c r="S123" s="22">
        <f t="shared" si="38"/>
        <v>37</v>
      </c>
      <c r="T123" s="13">
        <f t="shared" si="29"/>
        <v>1315403040.9327497</v>
      </c>
      <c r="U123" s="14">
        <v>42646</v>
      </c>
      <c r="X123" s="22"/>
      <c r="Y123" s="13"/>
      <c r="Z123" s="14"/>
      <c r="AC123" s="22"/>
      <c r="AD123" s="13"/>
      <c r="AE123" s="14"/>
      <c r="AH123" s="22"/>
      <c r="AI123" s="13"/>
      <c r="AJ123" s="14"/>
      <c r="AM123" s="22"/>
      <c r="AN123" s="13"/>
      <c r="AO123" s="14"/>
      <c r="AR123" s="22"/>
      <c r="AS123" s="13"/>
      <c r="AT123" s="14"/>
      <c r="AW123" s="22"/>
      <c r="AX123" s="13"/>
      <c r="AY123" s="14"/>
      <c r="BB123" s="22"/>
      <c r="BC123" s="13"/>
      <c r="BD123" s="14"/>
    </row>
    <row r="124" spans="1:56" x14ac:dyDescent="0.25">
      <c r="A124" s="15">
        <f t="shared" si="44"/>
        <v>0</v>
      </c>
      <c r="B124" s="20">
        <v>43256</v>
      </c>
      <c r="D124" s="12"/>
      <c r="E124" s="12"/>
      <c r="I124" s="12">
        <f t="shared" si="36"/>
        <v>8</v>
      </c>
      <c r="J124" s="13">
        <f t="shared" si="27"/>
        <v>784033966.22559071</v>
      </c>
      <c r="K124" s="14">
        <v>42604</v>
      </c>
      <c r="N124" s="12"/>
      <c r="O124" s="13"/>
      <c r="S124" s="22">
        <f t="shared" si="38"/>
        <v>36</v>
      </c>
      <c r="T124" s="13">
        <f t="shared" si="29"/>
        <v>1315557708.1727498</v>
      </c>
      <c r="U124" s="14">
        <v>42647</v>
      </c>
      <c r="X124" s="22"/>
      <c r="Y124" s="13"/>
      <c r="Z124" s="14"/>
      <c r="AC124" s="22"/>
      <c r="AD124" s="13"/>
      <c r="AE124" s="14"/>
      <c r="AH124" s="22"/>
      <c r="AI124" s="13"/>
      <c r="AJ124" s="14"/>
      <c r="AM124" s="22"/>
      <c r="AN124" s="13"/>
      <c r="AO124" s="14"/>
      <c r="AR124" s="22"/>
      <c r="AS124" s="13"/>
      <c r="AT124" s="14"/>
      <c r="AW124" s="22"/>
      <c r="AX124" s="13"/>
      <c r="AY124" s="14"/>
      <c r="BB124" s="22"/>
      <c r="BC124" s="13"/>
      <c r="BD124" s="14"/>
    </row>
    <row r="125" spans="1:56" x14ac:dyDescent="0.25">
      <c r="A125" s="15">
        <f t="shared" si="44"/>
        <v>0</v>
      </c>
      <c r="B125" s="20">
        <v>43257</v>
      </c>
      <c r="D125" s="12"/>
      <c r="E125" s="12"/>
      <c r="I125" s="12">
        <f t="shared" si="36"/>
        <v>7</v>
      </c>
      <c r="J125" s="13">
        <f t="shared" si="27"/>
        <v>784125727.49937415</v>
      </c>
      <c r="K125" s="14">
        <v>42605</v>
      </c>
      <c r="N125" s="12"/>
      <c r="O125" s="13"/>
      <c r="S125" s="22">
        <f t="shared" si="38"/>
        <v>35</v>
      </c>
      <c r="T125" s="13">
        <f t="shared" si="29"/>
        <v>1315712411.7890811</v>
      </c>
      <c r="U125" s="14">
        <v>42648</v>
      </c>
      <c r="X125" s="22"/>
      <c r="Y125" s="13"/>
      <c r="Z125" s="14"/>
      <c r="AC125" s="22"/>
      <c r="AD125" s="13"/>
      <c r="AE125" s="14"/>
      <c r="AH125" s="22"/>
      <c r="AI125" s="13"/>
      <c r="AJ125" s="14"/>
      <c r="AM125" s="22"/>
      <c r="AN125" s="13"/>
      <c r="AO125" s="14"/>
      <c r="AR125" s="22"/>
      <c r="AS125" s="13"/>
      <c r="AT125" s="14"/>
      <c r="AW125" s="22"/>
      <c r="AX125" s="13"/>
      <c r="AY125" s="14"/>
      <c r="BB125" s="22"/>
      <c r="BC125" s="13"/>
      <c r="BD125" s="14"/>
    </row>
    <row r="126" spans="1:56" x14ac:dyDescent="0.25">
      <c r="A126" s="15">
        <f t="shared" si="44"/>
        <v>0</v>
      </c>
      <c r="B126" s="20">
        <v>43258</v>
      </c>
      <c r="D126" s="12"/>
      <c r="E126" s="12"/>
      <c r="I126" s="12">
        <f t="shared" si="36"/>
        <v>6</v>
      </c>
      <c r="J126" s="13">
        <f t="shared" si="27"/>
        <v>784217510.25466824</v>
      </c>
      <c r="K126" s="14">
        <v>42606</v>
      </c>
      <c r="N126" s="12"/>
      <c r="O126" s="13"/>
      <c r="S126" s="22">
        <f t="shared" si="38"/>
        <v>34</v>
      </c>
      <c r="T126" s="13">
        <f t="shared" si="29"/>
        <v>1315867151.7945774</v>
      </c>
      <c r="U126" s="14">
        <v>42649</v>
      </c>
      <c r="X126" s="22"/>
      <c r="Y126" s="13"/>
      <c r="Z126" s="14"/>
      <c r="AC126" s="22"/>
      <c r="AD126" s="13"/>
      <c r="AE126" s="14"/>
      <c r="AH126" s="22"/>
      <c r="AI126" s="13"/>
      <c r="AJ126" s="14"/>
      <c r="AM126" s="22"/>
      <c r="AN126" s="13"/>
      <c r="AO126" s="14"/>
      <c r="AR126" s="22"/>
      <c r="AS126" s="13"/>
      <c r="AT126" s="14"/>
      <c r="AW126" s="22"/>
      <c r="AX126" s="13"/>
      <c r="AY126" s="14"/>
      <c r="BB126" s="22"/>
      <c r="BC126" s="13"/>
      <c r="BD126" s="14"/>
    </row>
    <row r="127" spans="1:56" x14ac:dyDescent="0.25">
      <c r="A127" s="15">
        <f t="shared" si="44"/>
        <v>0</v>
      </c>
      <c r="B127" s="20">
        <v>43259</v>
      </c>
      <c r="D127" s="12"/>
      <c r="E127" s="12"/>
      <c r="I127" s="12">
        <f t="shared" si="36"/>
        <v>5</v>
      </c>
      <c r="J127" s="13">
        <f t="shared" si="27"/>
        <v>784309314.499017</v>
      </c>
      <c r="K127" s="14">
        <v>42607</v>
      </c>
      <c r="N127" s="12"/>
      <c r="O127" s="13"/>
      <c r="S127" s="22">
        <f t="shared" si="38"/>
        <v>33</v>
      </c>
      <c r="T127" s="13">
        <f t="shared" si="29"/>
        <v>1316021928.2020805</v>
      </c>
      <c r="U127" s="14">
        <v>42650</v>
      </c>
      <c r="X127" s="22"/>
      <c r="Y127" s="13"/>
      <c r="Z127" s="14"/>
      <c r="AC127" s="22"/>
      <c r="AD127" s="13"/>
      <c r="AE127" s="14"/>
      <c r="AH127" s="22"/>
      <c r="AI127" s="13"/>
      <c r="AJ127" s="14"/>
      <c r="AM127" s="22"/>
      <c r="AN127" s="13"/>
      <c r="AO127" s="14"/>
      <c r="AR127" s="22"/>
      <c r="AS127" s="13"/>
      <c r="AT127" s="14"/>
      <c r="AW127" s="22"/>
      <c r="AX127" s="13"/>
      <c r="AY127" s="14"/>
      <c r="BB127" s="22"/>
      <c r="BC127" s="13"/>
      <c r="BD127" s="14"/>
    </row>
    <row r="128" spans="1:56" x14ac:dyDescent="0.25">
      <c r="A128" s="15">
        <f t="shared" si="44"/>
        <v>0</v>
      </c>
      <c r="B128" s="20">
        <v>43260</v>
      </c>
      <c r="D128" s="12"/>
      <c r="E128" s="12"/>
      <c r="I128" s="12">
        <f t="shared" si="36"/>
        <v>4</v>
      </c>
      <c r="J128" s="13">
        <f t="shared" si="27"/>
        <v>784401140.23996806</v>
      </c>
      <c r="K128" s="14">
        <v>42608</v>
      </c>
      <c r="N128" s="12"/>
      <c r="O128" s="13"/>
      <c r="S128" s="22">
        <f t="shared" si="38"/>
        <v>32</v>
      </c>
      <c r="T128" s="13">
        <f t="shared" si="29"/>
        <v>1316176741.0244365</v>
      </c>
      <c r="U128" s="14">
        <v>42651</v>
      </c>
      <c r="X128" s="22"/>
      <c r="Y128" s="13"/>
      <c r="Z128" s="14"/>
      <c r="AC128" s="22"/>
      <c r="AD128" s="13"/>
      <c r="AE128" s="14"/>
      <c r="AH128" s="22"/>
      <c r="AI128" s="13"/>
      <c r="AJ128" s="14"/>
      <c r="AM128" s="22"/>
      <c r="AN128" s="13"/>
      <c r="AO128" s="14"/>
      <c r="AR128" s="22"/>
      <c r="AS128" s="13"/>
      <c r="AT128" s="14"/>
      <c r="AW128" s="22"/>
      <c r="AX128" s="13"/>
      <c r="AY128" s="14"/>
      <c r="BB128" s="22"/>
      <c r="BC128" s="13"/>
      <c r="BD128" s="14"/>
    </row>
    <row r="129" spans="1:56" x14ac:dyDescent="0.25">
      <c r="A129" s="15">
        <f t="shared" si="44"/>
        <v>0</v>
      </c>
      <c r="B129" s="20">
        <v>43261</v>
      </c>
      <c r="D129" s="12"/>
      <c r="E129" s="12"/>
      <c r="I129" s="12">
        <f t="shared" si="36"/>
        <v>3</v>
      </c>
      <c r="J129" s="13">
        <f t="shared" si="27"/>
        <v>784492987.48507297</v>
      </c>
      <c r="K129" s="14">
        <v>42609</v>
      </c>
      <c r="N129" s="12"/>
      <c r="O129" s="13"/>
      <c r="S129" s="22">
        <f t="shared" si="38"/>
        <v>31</v>
      </c>
      <c r="T129" s="13">
        <f t="shared" si="29"/>
        <v>1316331590.274498</v>
      </c>
      <c r="U129" s="14">
        <v>42652</v>
      </c>
      <c r="X129" s="22"/>
      <c r="Y129" s="13"/>
      <c r="Z129" s="14"/>
      <c r="AC129" s="22"/>
      <c r="AD129" s="13"/>
      <c r="AE129" s="14"/>
      <c r="AH129" s="22"/>
      <c r="AI129" s="13"/>
      <c r="AJ129" s="14"/>
      <c r="AM129" s="22"/>
      <c r="AN129" s="13"/>
      <c r="AO129" s="14"/>
      <c r="AR129" s="22"/>
      <c r="AS129" s="13"/>
      <c r="AT129" s="14"/>
      <c r="AW129" s="22"/>
      <c r="AX129" s="13"/>
      <c r="AY129" s="14"/>
      <c r="BB129" s="22"/>
      <c r="BC129" s="13"/>
      <c r="BD129" s="14"/>
    </row>
    <row r="130" spans="1:56" x14ac:dyDescent="0.25">
      <c r="A130" s="15">
        <f t="shared" si="44"/>
        <v>0</v>
      </c>
      <c r="B130" s="20">
        <v>43262</v>
      </c>
      <c r="D130" s="12"/>
      <c r="E130" s="12"/>
      <c r="I130" s="12">
        <f t="shared" si="36"/>
        <v>2</v>
      </c>
      <c r="J130" s="13">
        <f t="shared" si="27"/>
        <v>784584856.24188626</v>
      </c>
      <c r="K130" s="14">
        <v>42610</v>
      </c>
      <c r="N130" s="12"/>
      <c r="O130" s="13"/>
      <c r="S130" s="22">
        <f t="shared" si="38"/>
        <v>30</v>
      </c>
      <c r="T130" s="13">
        <f t="shared" si="29"/>
        <v>1316486475.9651237</v>
      </c>
      <c r="U130" s="14">
        <v>42653</v>
      </c>
      <c r="X130" s="22"/>
      <c r="Y130" s="13"/>
      <c r="Z130" s="14"/>
      <c r="AC130" s="22"/>
      <c r="AD130" s="13"/>
      <c r="AE130" s="14"/>
      <c r="AH130" s="22"/>
      <c r="AI130" s="13"/>
      <c r="AJ130" s="14"/>
      <c r="AM130" s="22"/>
      <c r="AN130" s="13"/>
      <c r="AO130" s="14"/>
      <c r="AR130" s="22"/>
      <c r="AS130" s="13"/>
      <c r="AT130" s="14"/>
      <c r="AW130" s="22"/>
      <c r="AX130" s="13"/>
      <c r="AY130" s="14"/>
      <c r="BB130" s="22"/>
      <c r="BC130" s="13"/>
      <c r="BD130" s="14"/>
    </row>
    <row r="131" spans="1:56" x14ac:dyDescent="0.25">
      <c r="A131" s="15">
        <f t="shared" si="44"/>
        <v>0</v>
      </c>
      <c r="B131" s="20">
        <v>43263</v>
      </c>
      <c r="D131" s="12"/>
      <c r="E131" s="12"/>
      <c r="I131" s="12">
        <f t="shared" si="36"/>
        <v>1</v>
      </c>
      <c r="J131" s="13">
        <f t="shared" si="27"/>
        <v>784676746.51796627</v>
      </c>
      <c r="K131" s="14">
        <v>42611</v>
      </c>
      <c r="N131" s="12"/>
      <c r="O131" s="13"/>
      <c r="S131" s="22">
        <f t="shared" si="38"/>
        <v>29</v>
      </c>
      <c r="T131" s="13">
        <f t="shared" si="29"/>
        <v>1316641398.1091788</v>
      </c>
      <c r="U131" s="14">
        <v>42654</v>
      </c>
      <c r="X131" s="22"/>
      <c r="Y131" s="13"/>
      <c r="Z131" s="14"/>
      <c r="AC131" s="22"/>
      <c r="AD131" s="13"/>
      <c r="AE131" s="14"/>
      <c r="AH131" s="22"/>
      <c r="AI131" s="13"/>
      <c r="AJ131" s="14"/>
      <c r="AM131" s="22"/>
      <c r="AN131" s="13"/>
      <c r="AO131" s="14"/>
      <c r="AR131" s="22"/>
      <c r="AS131" s="13"/>
      <c r="AT131" s="14"/>
      <c r="AW131" s="22"/>
      <c r="AX131" s="13"/>
      <c r="AY131" s="14"/>
      <c r="BB131" s="22"/>
      <c r="BC131" s="13"/>
      <c r="BD131" s="14"/>
    </row>
    <row r="132" spans="1:56" x14ac:dyDescent="0.25">
      <c r="A132" s="15">
        <f t="shared" si="44"/>
        <v>0</v>
      </c>
      <c r="B132" s="20">
        <v>43264</v>
      </c>
      <c r="D132" s="12"/>
      <c r="E132" s="12"/>
      <c r="I132" s="12">
        <f t="shared" si="36"/>
        <v>0</v>
      </c>
      <c r="J132" s="13">
        <f t="shared" si="27"/>
        <v>784768658.32087517</v>
      </c>
      <c r="K132" s="14">
        <v>42612</v>
      </c>
      <c r="N132" s="12"/>
      <c r="O132" s="13"/>
      <c r="S132" s="22">
        <f t="shared" si="38"/>
        <v>28</v>
      </c>
      <c r="T132" s="13">
        <f t="shared" si="29"/>
        <v>1316796356.7195342</v>
      </c>
      <c r="U132" s="14">
        <v>42655</v>
      </c>
      <c r="X132" s="22"/>
      <c r="Y132" s="13"/>
      <c r="Z132" s="14"/>
      <c r="AC132" s="22"/>
      <c r="AD132" s="13"/>
      <c r="AE132" s="14"/>
      <c r="AH132" s="22"/>
      <c r="AI132" s="13"/>
      <c r="AJ132" s="14"/>
      <c r="AM132" s="22"/>
      <c r="AN132" s="13"/>
      <c r="AO132" s="14"/>
      <c r="AR132" s="22"/>
      <c r="AS132" s="13"/>
      <c r="AT132" s="14"/>
      <c r="AW132" s="22"/>
      <c r="AX132" s="13"/>
      <c r="AY132" s="14"/>
      <c r="BB132" s="22"/>
      <c r="BC132" s="13"/>
      <c r="BD132" s="14"/>
    </row>
    <row r="133" spans="1:56" x14ac:dyDescent="0.25">
      <c r="A133" s="15">
        <f t="shared" si="44"/>
        <v>0</v>
      </c>
      <c r="B133" s="20">
        <v>43265</v>
      </c>
      <c r="D133" s="12"/>
      <c r="E133" s="12"/>
      <c r="I133" s="12"/>
      <c r="J133" s="17"/>
      <c r="N133" s="12"/>
      <c r="O133" s="17"/>
      <c r="S133" s="22">
        <f t="shared" si="38"/>
        <v>27</v>
      </c>
      <c r="T133" s="13">
        <f t="shared" si="29"/>
        <v>1316951351.8090663</v>
      </c>
      <c r="U133" s="14">
        <v>42656</v>
      </c>
      <c r="X133" s="22"/>
      <c r="Y133" s="13"/>
      <c r="Z133" s="14"/>
      <c r="AC133" s="22"/>
      <c r="AD133" s="13"/>
      <c r="AE133" s="14"/>
      <c r="AH133" s="22"/>
      <c r="AI133" s="13"/>
      <c r="AJ133" s="14"/>
      <c r="AM133" s="22"/>
      <c r="AN133" s="13"/>
      <c r="AO133" s="14"/>
      <c r="AR133" s="22"/>
      <c r="AS133" s="13"/>
      <c r="AT133" s="14"/>
      <c r="AW133" s="22"/>
      <c r="AX133" s="13"/>
      <c r="AY133" s="14"/>
      <c r="BB133" s="22"/>
      <c r="BC133" s="13"/>
      <c r="BD133" s="14"/>
    </row>
    <row r="134" spans="1:56" x14ac:dyDescent="0.25">
      <c r="A134" s="15">
        <f t="shared" si="44"/>
        <v>0</v>
      </c>
      <c r="B134" s="20">
        <v>43266</v>
      </c>
      <c r="D134" s="12"/>
      <c r="E134" s="12"/>
      <c r="I134" s="12"/>
      <c r="J134" s="17"/>
      <c r="N134" s="12"/>
      <c r="O134" s="17"/>
      <c r="S134" s="22">
        <f t="shared" si="38"/>
        <v>26</v>
      </c>
      <c r="T134" s="13">
        <f t="shared" si="29"/>
        <v>1317106383.3906584</v>
      </c>
      <c r="U134" s="14">
        <v>42657</v>
      </c>
      <c r="X134" s="22"/>
      <c r="Y134" s="13"/>
      <c r="Z134" s="14"/>
      <c r="AC134" s="22"/>
      <c r="AD134" s="13"/>
      <c r="AE134" s="14"/>
      <c r="AH134" s="22"/>
      <c r="AI134" s="13"/>
      <c r="AJ134" s="14"/>
      <c r="AM134" s="22"/>
      <c r="AN134" s="13"/>
      <c r="AO134" s="14"/>
      <c r="AR134" s="22"/>
      <c r="AS134" s="13"/>
      <c r="AT134" s="14"/>
      <c r="AW134" s="22"/>
      <c r="AX134" s="13"/>
      <c r="AY134" s="14"/>
      <c r="BB134" s="22"/>
      <c r="BC134" s="13"/>
      <c r="BD134" s="14"/>
    </row>
    <row r="135" spans="1:56" x14ac:dyDescent="0.25">
      <c r="A135" s="15">
        <f t="shared" si="44"/>
        <v>0</v>
      </c>
      <c r="B135" s="20">
        <v>43267</v>
      </c>
      <c r="D135" s="12"/>
      <c r="E135" s="12"/>
      <c r="I135" s="12"/>
      <c r="J135" s="17"/>
      <c r="N135" s="12"/>
      <c r="O135" s="17"/>
      <c r="S135" s="22">
        <f t="shared" si="38"/>
        <v>25</v>
      </c>
      <c r="T135" s="13">
        <f t="shared" si="29"/>
        <v>1317261451.4771996</v>
      </c>
      <c r="U135" s="14">
        <v>42658</v>
      </c>
      <c r="X135" s="22"/>
      <c r="Y135" s="13"/>
      <c r="Z135" s="14"/>
      <c r="AC135" s="22"/>
      <c r="AD135" s="13"/>
      <c r="AE135" s="14"/>
      <c r="AH135" s="22"/>
      <c r="AI135" s="13"/>
      <c r="AJ135" s="14"/>
      <c r="AM135" s="22"/>
      <c r="AN135" s="13"/>
      <c r="AO135" s="14"/>
      <c r="AR135" s="22"/>
      <c r="AS135" s="13"/>
      <c r="AT135" s="14"/>
      <c r="AW135" s="22"/>
      <c r="AX135" s="13"/>
      <c r="AY135" s="14"/>
      <c r="BB135" s="22"/>
      <c r="BC135" s="13"/>
      <c r="BD135" s="14"/>
    </row>
    <row r="136" spans="1:56" x14ac:dyDescent="0.25">
      <c r="A136" s="15">
        <f t="shared" si="44"/>
        <v>0</v>
      </c>
      <c r="B136" s="20">
        <v>43268</v>
      </c>
      <c r="D136" s="12"/>
      <c r="E136" s="12"/>
      <c r="I136" s="12"/>
      <c r="J136" s="17"/>
      <c r="N136" s="12"/>
      <c r="O136" s="17"/>
      <c r="S136" s="22">
        <f t="shared" si="38"/>
        <v>24</v>
      </c>
      <c r="T136" s="13">
        <f t="shared" si="29"/>
        <v>1317416556.0815852</v>
      </c>
      <c r="U136" s="14">
        <v>42659</v>
      </c>
      <c r="X136" s="22"/>
      <c r="Y136" s="13"/>
      <c r="Z136" s="14"/>
      <c r="AC136" s="22"/>
      <c r="AD136" s="13"/>
      <c r="AE136" s="14"/>
      <c r="AH136" s="22"/>
      <c r="AI136" s="13"/>
      <c r="AJ136" s="14"/>
      <c r="AM136" s="22"/>
      <c r="AN136" s="13"/>
      <c r="AO136" s="14"/>
      <c r="AR136" s="22"/>
      <c r="AS136" s="13"/>
      <c r="AT136" s="14"/>
      <c r="AW136" s="22"/>
      <c r="AX136" s="13"/>
      <c r="AY136" s="14"/>
      <c r="BB136" s="22"/>
      <c r="BC136" s="13"/>
      <c r="BD136" s="14"/>
    </row>
    <row r="137" spans="1:56" x14ac:dyDescent="0.25">
      <c r="A137" s="15">
        <f t="shared" si="44"/>
        <v>0</v>
      </c>
      <c r="B137" s="20">
        <v>43269</v>
      </c>
      <c r="D137" s="12"/>
      <c r="E137" s="12"/>
      <c r="I137" s="12"/>
      <c r="J137" s="17"/>
      <c r="N137" s="12"/>
      <c r="O137" s="17"/>
      <c r="S137" s="22">
        <f t="shared" si="38"/>
        <v>23</v>
      </c>
      <c r="T137" s="13">
        <f t="shared" ref="T137:T160" si="45">($V$2/(1+$V$4*S137/30))</f>
        <v>1317571697.2167161</v>
      </c>
      <c r="U137" s="14">
        <v>42660</v>
      </c>
      <c r="X137" s="22"/>
      <c r="Y137" s="13"/>
      <c r="Z137" s="14"/>
      <c r="AC137" s="22"/>
      <c r="AD137" s="13"/>
      <c r="AE137" s="14"/>
      <c r="AH137" s="22"/>
      <c r="AI137" s="13"/>
      <c r="AJ137" s="14"/>
      <c r="AM137" s="22"/>
      <c r="AN137" s="13"/>
      <c r="AO137" s="14"/>
      <c r="AR137" s="22"/>
      <c r="AS137" s="13"/>
      <c r="AT137" s="14"/>
      <c r="AW137" s="22"/>
      <c r="AX137" s="13"/>
      <c r="AY137" s="14"/>
      <c r="BB137" s="22"/>
      <c r="BC137" s="13"/>
      <c r="BD137" s="14"/>
    </row>
    <row r="138" spans="1:56" x14ac:dyDescent="0.25">
      <c r="A138" s="15">
        <f t="shared" si="44"/>
        <v>0</v>
      </c>
      <c r="B138" s="20">
        <v>43270</v>
      </c>
      <c r="D138" s="12"/>
      <c r="E138" s="12"/>
      <c r="I138" s="12"/>
      <c r="J138" s="17"/>
      <c r="N138" s="12"/>
      <c r="O138" s="17"/>
      <c r="S138" s="22">
        <f t="shared" ref="S138:S160" si="46">+S137-1</f>
        <v>22</v>
      </c>
      <c r="T138" s="13">
        <f t="shared" si="45"/>
        <v>1317726874.8954992</v>
      </c>
      <c r="U138" s="14">
        <v>42661</v>
      </c>
      <c r="X138" s="22"/>
      <c r="Y138" s="13"/>
      <c r="Z138" s="14"/>
      <c r="AC138" s="22"/>
      <c r="AD138" s="13"/>
      <c r="AE138" s="14"/>
      <c r="AH138" s="22"/>
      <c r="AI138" s="13"/>
      <c r="AJ138" s="14"/>
      <c r="AM138" s="22"/>
      <c r="AN138" s="13"/>
      <c r="AO138" s="14"/>
      <c r="AR138" s="22"/>
      <c r="AS138" s="13"/>
      <c r="AT138" s="14"/>
      <c r="AW138" s="22"/>
      <c r="AX138" s="13"/>
      <c r="AY138" s="14"/>
      <c r="BB138" s="22"/>
      <c r="BC138" s="13"/>
      <c r="BD138" s="14"/>
    </row>
    <row r="139" spans="1:56" x14ac:dyDescent="0.25">
      <c r="A139" s="15">
        <f t="shared" si="44"/>
        <v>0</v>
      </c>
      <c r="B139" s="20">
        <v>43271</v>
      </c>
      <c r="D139" s="12"/>
      <c r="E139" s="12"/>
      <c r="I139" s="12"/>
      <c r="J139" s="17"/>
      <c r="N139" s="12"/>
      <c r="O139" s="17"/>
      <c r="S139" s="22">
        <f t="shared" si="46"/>
        <v>21</v>
      </c>
      <c r="T139" s="13">
        <f t="shared" si="45"/>
        <v>1317882089.1308486</v>
      </c>
      <c r="U139" s="14">
        <v>42662</v>
      </c>
      <c r="X139" s="22"/>
      <c r="Y139" s="13"/>
      <c r="Z139" s="14"/>
      <c r="AC139" s="22"/>
      <c r="AD139" s="13"/>
      <c r="AE139" s="14"/>
      <c r="AH139" s="22"/>
      <c r="AI139" s="13"/>
      <c r="AJ139" s="14"/>
      <c r="AM139" s="22"/>
      <c r="AN139" s="13"/>
      <c r="AO139" s="14"/>
      <c r="AR139" s="22"/>
      <c r="AS139" s="13"/>
      <c r="AT139" s="14"/>
      <c r="AW139" s="22"/>
      <c r="AX139" s="13"/>
      <c r="AY139" s="14"/>
      <c r="BB139" s="22"/>
      <c r="BC139" s="13"/>
      <c r="BD139" s="14"/>
    </row>
    <row r="140" spans="1:56" x14ac:dyDescent="0.25">
      <c r="A140" s="15">
        <f t="shared" si="44"/>
        <v>0</v>
      </c>
      <c r="B140" s="20">
        <v>43272</v>
      </c>
      <c r="D140" s="12"/>
      <c r="E140" s="12"/>
      <c r="I140" s="12"/>
      <c r="J140" s="17"/>
      <c r="N140" s="12"/>
      <c r="O140" s="17"/>
      <c r="S140" s="22">
        <f t="shared" si="46"/>
        <v>20</v>
      </c>
      <c r="T140" s="13">
        <f t="shared" si="45"/>
        <v>1318037339.9356837</v>
      </c>
      <c r="U140" s="14">
        <v>42663</v>
      </c>
      <c r="X140" s="22"/>
      <c r="Y140" s="13"/>
      <c r="Z140" s="14"/>
      <c r="AC140" s="22"/>
      <c r="AD140" s="13"/>
      <c r="AE140" s="14"/>
      <c r="AH140" s="22"/>
      <c r="AI140" s="13"/>
      <c r="AJ140" s="14"/>
      <c r="AM140" s="22"/>
      <c r="AN140" s="13"/>
      <c r="AO140" s="14"/>
      <c r="AR140" s="22"/>
      <c r="AS140" s="13"/>
      <c r="AT140" s="14"/>
      <c r="AW140" s="22"/>
      <c r="AX140" s="13"/>
      <c r="AY140" s="14"/>
      <c r="BB140" s="22"/>
      <c r="BC140" s="13"/>
      <c r="BD140" s="14"/>
    </row>
    <row r="141" spans="1:56" x14ac:dyDescent="0.25">
      <c r="A141" s="15">
        <f t="shared" si="44"/>
        <v>0</v>
      </c>
      <c r="B141" s="20">
        <v>43273</v>
      </c>
      <c r="D141" s="12"/>
      <c r="E141" s="12"/>
      <c r="I141" s="12"/>
      <c r="J141" s="17"/>
      <c r="N141" s="12"/>
      <c r="O141" s="17"/>
      <c r="S141" s="22">
        <f t="shared" si="46"/>
        <v>19</v>
      </c>
      <c r="T141" s="13">
        <f t="shared" si="45"/>
        <v>1318192627.3229299</v>
      </c>
      <c r="U141" s="14">
        <v>42664</v>
      </c>
      <c r="X141" s="22"/>
      <c r="Y141" s="13"/>
      <c r="Z141" s="14"/>
      <c r="AC141" s="22"/>
      <c r="AD141" s="13"/>
      <c r="AE141" s="14"/>
      <c r="AH141" s="22"/>
      <c r="AI141" s="13"/>
      <c r="AJ141" s="14"/>
      <c r="AM141" s="22"/>
      <c r="AN141" s="13"/>
      <c r="AO141" s="14"/>
      <c r="AR141" s="22"/>
      <c r="AS141" s="13"/>
      <c r="AT141" s="14"/>
      <c r="AW141" s="22"/>
      <c r="AX141" s="13"/>
      <c r="AY141" s="14"/>
      <c r="BB141" s="22"/>
      <c r="BC141" s="13"/>
      <c r="BD141" s="14"/>
    </row>
    <row r="142" spans="1:56" x14ac:dyDescent="0.25">
      <c r="A142" s="15">
        <f t="shared" si="44"/>
        <v>0</v>
      </c>
      <c r="B142" s="20">
        <v>43274</v>
      </c>
      <c r="D142" s="12"/>
      <c r="E142" s="12"/>
      <c r="I142" s="12"/>
      <c r="J142" s="17"/>
      <c r="N142" s="12"/>
      <c r="O142" s="17"/>
      <c r="S142" s="22">
        <f t="shared" si="46"/>
        <v>18</v>
      </c>
      <c r="T142" s="13">
        <f t="shared" si="45"/>
        <v>1318347951.3055182</v>
      </c>
      <c r="U142" s="14">
        <v>42665</v>
      </c>
      <c r="X142" s="22"/>
      <c r="Y142" s="13"/>
      <c r="Z142" s="14"/>
      <c r="AC142" s="22"/>
      <c r="AD142" s="13"/>
      <c r="AE142" s="14"/>
      <c r="AH142" s="22"/>
      <c r="AI142" s="13"/>
      <c r="AJ142" s="14"/>
      <c r="AM142" s="22"/>
      <c r="AN142" s="13"/>
      <c r="AO142" s="14"/>
      <c r="AR142" s="22"/>
      <c r="AS142" s="13"/>
      <c r="AT142" s="14"/>
      <c r="AW142" s="22"/>
      <c r="AX142" s="13"/>
      <c r="AY142" s="14"/>
      <c r="BB142" s="22"/>
      <c r="BC142" s="13"/>
      <c r="BD142" s="14"/>
    </row>
    <row r="143" spans="1:56" x14ac:dyDescent="0.25">
      <c r="A143" s="15">
        <f t="shared" si="44"/>
        <v>0</v>
      </c>
      <c r="B143" s="20">
        <v>43275</v>
      </c>
      <c r="D143" s="12"/>
      <c r="E143" s="12"/>
      <c r="I143" s="12"/>
      <c r="J143" s="17"/>
      <c r="N143" s="12"/>
      <c r="O143" s="17"/>
      <c r="S143" s="22">
        <f t="shared" si="46"/>
        <v>17</v>
      </c>
      <c r="T143" s="13">
        <f t="shared" si="45"/>
        <v>1318503311.8963873</v>
      </c>
      <c r="U143" s="14">
        <v>42666</v>
      </c>
      <c r="X143" s="22"/>
      <c r="Y143" s="13"/>
      <c r="Z143" s="14"/>
      <c r="AC143" s="22"/>
      <c r="AD143" s="13"/>
      <c r="AE143" s="14"/>
      <c r="AH143" s="22"/>
      <c r="AI143" s="13"/>
      <c r="AJ143" s="14"/>
      <c r="AM143" s="22"/>
      <c r="AN143" s="13"/>
      <c r="AO143" s="14"/>
      <c r="AR143" s="22"/>
      <c r="AS143" s="13"/>
      <c r="AT143" s="14"/>
      <c r="AW143" s="22"/>
      <c r="AX143" s="13"/>
      <c r="AY143" s="14"/>
      <c r="BB143" s="22"/>
      <c r="BC143" s="13"/>
      <c r="BD143" s="14"/>
    </row>
    <row r="144" spans="1:56" x14ac:dyDescent="0.25">
      <c r="A144" s="15">
        <f t="shared" si="44"/>
        <v>0</v>
      </c>
      <c r="B144" s="20">
        <v>43276</v>
      </c>
      <c r="D144" s="12"/>
      <c r="E144" s="12"/>
      <c r="I144" s="12"/>
      <c r="J144" s="17"/>
      <c r="N144" s="12"/>
      <c r="O144" s="17"/>
      <c r="S144" s="22">
        <f t="shared" si="46"/>
        <v>16</v>
      </c>
      <c r="T144" s="13">
        <f t="shared" si="45"/>
        <v>1318658709.1084805</v>
      </c>
      <c r="U144" s="14">
        <v>42667</v>
      </c>
      <c r="X144" s="22"/>
      <c r="Y144" s="13"/>
      <c r="Z144" s="14"/>
      <c r="AC144" s="22"/>
      <c r="AD144" s="13"/>
      <c r="AE144" s="14"/>
      <c r="AH144" s="22"/>
      <c r="AI144" s="13"/>
      <c r="AJ144" s="14"/>
      <c r="AM144" s="22"/>
      <c r="AN144" s="13"/>
      <c r="AO144" s="14"/>
      <c r="AR144" s="22"/>
      <c r="AS144" s="13"/>
      <c r="AT144" s="14"/>
      <c r="AW144" s="22"/>
      <c r="AX144" s="13"/>
      <c r="AY144" s="14"/>
      <c r="BB144" s="22"/>
      <c r="BC144" s="13"/>
      <c r="BD144" s="14"/>
    </row>
    <row r="145" spans="1:56" x14ac:dyDescent="0.25">
      <c r="A145" s="15">
        <f t="shared" si="44"/>
        <v>0</v>
      </c>
      <c r="B145" s="20">
        <v>43277</v>
      </c>
      <c r="D145" s="12"/>
      <c r="E145" s="12"/>
      <c r="I145" s="12"/>
      <c r="J145" s="17"/>
      <c r="N145" s="12"/>
      <c r="O145" s="17"/>
      <c r="S145" s="22">
        <f t="shared" si="46"/>
        <v>15</v>
      </c>
      <c r="T145" s="13">
        <f t="shared" si="45"/>
        <v>1318814142.9547479</v>
      </c>
      <c r="U145" s="14">
        <v>42668</v>
      </c>
      <c r="X145" s="22"/>
      <c r="Y145" s="13"/>
      <c r="Z145" s="14"/>
      <c r="AC145" s="22"/>
      <c r="AD145" s="13"/>
      <c r="AE145" s="14"/>
      <c r="AH145" s="22"/>
      <c r="AI145" s="13"/>
      <c r="AJ145" s="14"/>
      <c r="AM145" s="22"/>
      <c r="AN145" s="13"/>
      <c r="AO145" s="14"/>
      <c r="AR145" s="22"/>
      <c r="AS145" s="13"/>
      <c r="AT145" s="14"/>
      <c r="AW145" s="22"/>
      <c r="AX145" s="13"/>
      <c r="AY145" s="14"/>
      <c r="BB145" s="22"/>
      <c r="BC145" s="13"/>
      <c r="BD145" s="14"/>
    </row>
    <row r="146" spans="1:56" x14ac:dyDescent="0.25">
      <c r="A146" s="15">
        <f t="shared" si="44"/>
        <v>0</v>
      </c>
      <c r="B146" s="20">
        <v>43278</v>
      </c>
      <c r="D146" s="12"/>
      <c r="E146" s="12"/>
      <c r="I146" s="12"/>
      <c r="J146" s="17"/>
      <c r="N146" s="12"/>
      <c r="O146" s="17"/>
      <c r="S146" s="22">
        <f t="shared" si="46"/>
        <v>14</v>
      </c>
      <c r="T146" s="13">
        <f t="shared" si="45"/>
        <v>1318969613.4481452</v>
      </c>
      <c r="U146" s="14">
        <v>42669</v>
      </c>
      <c r="X146" s="22"/>
      <c r="Y146" s="13"/>
      <c r="Z146" s="14"/>
      <c r="AC146" s="22"/>
      <c r="AD146" s="13"/>
      <c r="AE146" s="14"/>
      <c r="AH146" s="22"/>
      <c r="AI146" s="13"/>
      <c r="AJ146" s="14"/>
      <c r="AM146" s="22"/>
      <c r="AN146" s="13"/>
      <c r="AO146" s="14"/>
      <c r="AR146" s="22"/>
      <c r="AS146" s="13"/>
      <c r="AT146" s="14"/>
      <c r="AW146" s="22"/>
      <c r="AX146" s="13"/>
      <c r="AY146" s="14"/>
      <c r="BB146" s="22"/>
      <c r="BC146" s="13"/>
      <c r="BD146" s="14"/>
    </row>
    <row r="147" spans="1:56" x14ac:dyDescent="0.25">
      <c r="A147" s="15">
        <f t="shared" si="44"/>
        <v>0</v>
      </c>
      <c r="B147" s="20">
        <v>43279</v>
      </c>
      <c r="D147" s="12"/>
      <c r="E147" s="12"/>
      <c r="I147" s="12"/>
      <c r="J147" s="17"/>
      <c r="N147" s="12"/>
      <c r="O147" s="17"/>
      <c r="S147" s="22">
        <f t="shared" si="46"/>
        <v>13</v>
      </c>
      <c r="T147" s="13">
        <f t="shared" si="45"/>
        <v>1319125120.601635</v>
      </c>
      <c r="U147" s="14">
        <v>42670</v>
      </c>
      <c r="X147" s="22"/>
      <c r="Y147" s="13"/>
      <c r="Z147" s="14"/>
      <c r="AC147" s="22"/>
      <c r="AD147" s="13"/>
      <c r="AE147" s="14"/>
      <c r="AH147" s="22"/>
      <c r="AI147" s="13"/>
      <c r="AJ147" s="14"/>
      <c r="AM147" s="22"/>
      <c r="AN147" s="13"/>
      <c r="AO147" s="14"/>
      <c r="AR147" s="22"/>
      <c r="AS147" s="13"/>
      <c r="AT147" s="14"/>
      <c r="AW147" s="22"/>
      <c r="AX147" s="13"/>
      <c r="AY147" s="14"/>
      <c r="BB147" s="22"/>
      <c r="BC147" s="13"/>
      <c r="BD147" s="14"/>
    </row>
    <row r="148" spans="1:56" x14ac:dyDescent="0.25">
      <c r="A148" s="15">
        <f t="shared" si="44"/>
        <v>0</v>
      </c>
      <c r="B148" s="20">
        <v>43280</v>
      </c>
      <c r="D148" s="12"/>
      <c r="E148" s="12"/>
      <c r="I148" s="12"/>
      <c r="J148" s="17"/>
      <c r="N148" s="12"/>
      <c r="O148" s="17"/>
      <c r="S148" s="22">
        <f t="shared" si="46"/>
        <v>12</v>
      </c>
      <c r="T148" s="13">
        <f t="shared" si="45"/>
        <v>1319280664.4281852</v>
      </c>
      <c r="U148" s="14">
        <v>42671</v>
      </c>
      <c r="X148" s="22"/>
      <c r="Y148" s="13"/>
      <c r="Z148" s="14"/>
      <c r="AC148" s="22"/>
      <c r="AD148" s="13"/>
      <c r="AE148" s="14"/>
      <c r="AH148" s="22"/>
      <c r="AI148" s="13"/>
      <c r="AJ148" s="14"/>
      <c r="AM148" s="22"/>
      <c r="AN148" s="13"/>
      <c r="AO148" s="14"/>
      <c r="AR148" s="22"/>
      <c r="AS148" s="13"/>
      <c r="AT148" s="14"/>
      <c r="AW148" s="22"/>
      <c r="AX148" s="13"/>
      <c r="AY148" s="14"/>
      <c r="BB148" s="22"/>
      <c r="BC148" s="13"/>
      <c r="BD148" s="14"/>
    </row>
    <row r="149" spans="1:56" x14ac:dyDescent="0.25">
      <c r="A149" s="15">
        <f t="shared" si="44"/>
        <v>0</v>
      </c>
      <c r="B149" s="20">
        <v>43281</v>
      </c>
      <c r="D149" s="12"/>
      <c r="E149" s="12"/>
      <c r="I149" s="12"/>
      <c r="J149" s="17"/>
      <c r="N149" s="12"/>
      <c r="O149" s="17"/>
      <c r="S149" s="22">
        <f t="shared" si="46"/>
        <v>11</v>
      </c>
      <c r="T149" s="13">
        <f t="shared" si="45"/>
        <v>1319436244.9407706</v>
      </c>
      <c r="U149" s="14">
        <v>42672</v>
      </c>
      <c r="X149" s="22"/>
      <c r="Y149" s="13"/>
      <c r="Z149" s="14"/>
      <c r="AC149" s="22"/>
      <c r="AD149" s="13"/>
      <c r="AE149" s="14"/>
      <c r="AH149" s="22"/>
      <c r="AI149" s="13"/>
      <c r="AJ149" s="14"/>
      <c r="AM149" s="22"/>
      <c r="AN149" s="13"/>
      <c r="AO149" s="14"/>
      <c r="AR149" s="22"/>
      <c r="AS149" s="13"/>
      <c r="AT149" s="14"/>
      <c r="AW149" s="22"/>
      <c r="AX149" s="13"/>
      <c r="AY149" s="14"/>
      <c r="BB149" s="22"/>
      <c r="BC149" s="13"/>
      <c r="BD149" s="14"/>
    </row>
    <row r="150" spans="1:56" x14ac:dyDescent="0.25">
      <c r="A150" s="15">
        <f t="shared" si="44"/>
        <v>0</v>
      </c>
      <c r="B150" s="20">
        <v>43282</v>
      </c>
      <c r="D150" s="12"/>
      <c r="E150" s="12"/>
      <c r="I150" s="12"/>
      <c r="J150" s="17"/>
      <c r="N150" s="12"/>
      <c r="O150" s="17"/>
      <c r="S150" s="22">
        <f t="shared" si="46"/>
        <v>10</v>
      </c>
      <c r="T150" s="13">
        <f t="shared" si="45"/>
        <v>1319591862.1523709</v>
      </c>
      <c r="U150" s="14">
        <v>42673</v>
      </c>
      <c r="X150" s="22"/>
      <c r="Y150" s="13"/>
      <c r="Z150" s="14"/>
      <c r="AC150" s="22"/>
      <c r="AD150" s="13"/>
      <c r="AE150" s="14"/>
      <c r="AH150" s="22"/>
      <c r="AI150" s="13"/>
      <c r="AJ150" s="14"/>
      <c r="AM150" s="22"/>
      <c r="AN150" s="13"/>
      <c r="AO150" s="14"/>
      <c r="AR150" s="22"/>
      <c r="AS150" s="13"/>
      <c r="AT150" s="14"/>
      <c r="AW150" s="22"/>
      <c r="AX150" s="13"/>
      <c r="AY150" s="14"/>
      <c r="BB150" s="22"/>
      <c r="BC150" s="13"/>
      <c r="BD150" s="14"/>
    </row>
    <row r="151" spans="1:56" x14ac:dyDescent="0.25">
      <c r="A151" s="15">
        <f t="shared" si="44"/>
        <v>0</v>
      </c>
      <c r="B151" s="20">
        <v>43283</v>
      </c>
      <c r="D151" s="12"/>
      <c r="E151" s="12"/>
      <c r="I151" s="12"/>
      <c r="J151" s="17"/>
      <c r="N151" s="12"/>
      <c r="O151" s="17"/>
      <c r="S151" s="22">
        <f t="shared" si="46"/>
        <v>9</v>
      </c>
      <c r="T151" s="13">
        <f t="shared" si="45"/>
        <v>1319747516.0759737</v>
      </c>
      <c r="U151" s="14">
        <v>42674</v>
      </c>
      <c r="X151" s="22"/>
      <c r="Y151" s="13"/>
      <c r="Z151" s="14"/>
      <c r="AC151" s="22"/>
      <c r="AD151" s="13"/>
      <c r="AE151" s="14"/>
      <c r="AH151" s="22"/>
      <c r="AI151" s="13"/>
      <c r="AJ151" s="14"/>
      <c r="AM151" s="22"/>
      <c r="AN151" s="13"/>
      <c r="AO151" s="14"/>
      <c r="AR151" s="22"/>
      <c r="AS151" s="13"/>
      <c r="AT151" s="14"/>
      <c r="AW151" s="22"/>
      <c r="AX151" s="13"/>
      <c r="AY151" s="14"/>
      <c r="BB151" s="22"/>
      <c r="BC151" s="13"/>
      <c r="BD151" s="14"/>
    </row>
    <row r="152" spans="1:56" x14ac:dyDescent="0.25">
      <c r="A152" s="15">
        <f t="shared" si="44"/>
        <v>0</v>
      </c>
      <c r="B152" s="20">
        <v>43284</v>
      </c>
      <c r="D152" s="12"/>
      <c r="E152" s="12"/>
      <c r="I152" s="12"/>
      <c r="J152" s="17"/>
      <c r="N152" s="12"/>
      <c r="O152" s="17"/>
      <c r="S152" s="22">
        <f t="shared" si="46"/>
        <v>8</v>
      </c>
      <c r="T152" s="13">
        <f t="shared" si="45"/>
        <v>1319903206.7245712</v>
      </c>
      <c r="U152" s="14">
        <v>42675</v>
      </c>
      <c r="X152" s="22"/>
      <c r="Y152" s="13"/>
      <c r="Z152" s="14"/>
      <c r="AC152" s="22"/>
      <c r="AD152" s="13"/>
      <c r="AE152" s="14"/>
      <c r="AH152" s="22"/>
      <c r="AI152" s="13"/>
      <c r="AJ152" s="14"/>
      <c r="AM152" s="22"/>
      <c r="AN152" s="13"/>
      <c r="AO152" s="14"/>
      <c r="AR152" s="22"/>
      <c r="AS152" s="13"/>
      <c r="AT152" s="14"/>
      <c r="AW152" s="22"/>
      <c r="AX152" s="13"/>
      <c r="AY152" s="14"/>
      <c r="BB152" s="22"/>
      <c r="BC152" s="13"/>
      <c r="BD152" s="14"/>
    </row>
    <row r="153" spans="1:56" x14ac:dyDescent="0.25">
      <c r="A153" s="15">
        <f t="shared" si="44"/>
        <v>0</v>
      </c>
      <c r="B153" s="20">
        <v>43285</v>
      </c>
      <c r="D153" s="12"/>
      <c r="E153" s="12"/>
      <c r="I153" s="12"/>
      <c r="J153" s="17"/>
      <c r="N153" s="12"/>
      <c r="O153" s="17"/>
      <c r="S153" s="22">
        <f t="shared" si="46"/>
        <v>7</v>
      </c>
      <c r="T153" s="13">
        <f t="shared" si="45"/>
        <v>1320058934.1111624</v>
      </c>
      <c r="U153" s="14">
        <v>42676</v>
      </c>
      <c r="X153" s="22"/>
      <c r="Y153" s="13"/>
      <c r="Z153" s="14"/>
      <c r="AC153" s="22"/>
      <c r="AD153" s="13"/>
      <c r="AE153" s="14"/>
      <c r="AH153" s="22"/>
      <c r="AI153" s="13"/>
      <c r="AJ153" s="14"/>
      <c r="AM153" s="22"/>
      <c r="AN153" s="13"/>
      <c r="AO153" s="14"/>
      <c r="AR153" s="22"/>
      <c r="AS153" s="13"/>
      <c r="AT153" s="14"/>
      <c r="AW153" s="22"/>
      <c r="AX153" s="13"/>
      <c r="AY153" s="14"/>
      <c r="BB153" s="22"/>
      <c r="BC153" s="13"/>
      <c r="BD153" s="14"/>
    </row>
    <row r="154" spans="1:56" x14ac:dyDescent="0.25">
      <c r="A154" s="15">
        <f t="shared" si="44"/>
        <v>0</v>
      </c>
      <c r="B154" s="20">
        <v>43286</v>
      </c>
      <c r="D154" s="12"/>
      <c r="E154" s="12"/>
      <c r="I154" s="12"/>
      <c r="J154" s="17"/>
      <c r="N154" s="12"/>
      <c r="O154" s="17"/>
      <c r="S154" s="22">
        <f t="shared" si="46"/>
        <v>6</v>
      </c>
      <c r="T154" s="13">
        <f t="shared" si="45"/>
        <v>1320214698.2487521</v>
      </c>
      <c r="U154" s="14">
        <v>42677</v>
      </c>
      <c r="X154" s="22"/>
      <c r="Y154" s="13"/>
      <c r="Z154" s="14"/>
      <c r="AC154" s="22"/>
      <c r="AD154" s="13"/>
      <c r="AE154" s="14"/>
      <c r="AH154" s="22"/>
      <c r="AI154" s="13"/>
      <c r="AJ154" s="14"/>
      <c r="AM154" s="22"/>
      <c r="AN154" s="13"/>
      <c r="AO154" s="14"/>
      <c r="AR154" s="22"/>
      <c r="AS154" s="13"/>
      <c r="AT154" s="14"/>
      <c r="AW154" s="22"/>
      <c r="AX154" s="13"/>
      <c r="AY154" s="14"/>
      <c r="BB154" s="22"/>
      <c r="BC154" s="13"/>
      <c r="BD154" s="14"/>
    </row>
    <row r="155" spans="1:56" x14ac:dyDescent="0.25">
      <c r="A155" s="15">
        <f t="shared" si="44"/>
        <v>0</v>
      </c>
      <c r="B155" s="20">
        <v>43287</v>
      </c>
      <c r="D155" s="12"/>
      <c r="E155" s="12"/>
      <c r="I155" s="12"/>
      <c r="J155" s="17"/>
      <c r="N155" s="12"/>
      <c r="O155" s="17"/>
      <c r="S155" s="22">
        <f t="shared" si="46"/>
        <v>5</v>
      </c>
      <c r="T155" s="13">
        <f t="shared" si="45"/>
        <v>1320370499.1503518</v>
      </c>
      <c r="U155" s="14">
        <v>42678</v>
      </c>
      <c r="X155" s="22"/>
      <c r="Y155" s="13"/>
      <c r="Z155" s="14"/>
      <c r="AC155" s="22"/>
      <c r="AD155" s="13"/>
      <c r="AE155" s="14"/>
      <c r="AH155" s="22"/>
      <c r="AI155" s="13"/>
      <c r="AJ155" s="14"/>
      <c r="AM155" s="22"/>
      <c r="AN155" s="13"/>
      <c r="AO155" s="14"/>
      <c r="AR155" s="22"/>
      <c r="AS155" s="13"/>
      <c r="AT155" s="14"/>
      <c r="AW155" s="22"/>
      <c r="AX155" s="13"/>
      <c r="AY155" s="14"/>
      <c r="BB155" s="22"/>
      <c r="BC155" s="13"/>
      <c r="BD155" s="14"/>
    </row>
    <row r="156" spans="1:56" x14ac:dyDescent="0.25">
      <c r="A156" s="15">
        <f t="shared" si="44"/>
        <v>0</v>
      </c>
      <c r="B156" s="20">
        <v>43288</v>
      </c>
      <c r="D156" s="12"/>
      <c r="E156" s="12"/>
      <c r="I156" s="12"/>
      <c r="J156" s="17"/>
      <c r="N156" s="12"/>
      <c r="O156" s="17"/>
      <c r="S156" s="22">
        <f t="shared" si="46"/>
        <v>4</v>
      </c>
      <c r="T156" s="13">
        <f t="shared" si="45"/>
        <v>1320526336.8289785</v>
      </c>
      <c r="U156" s="14">
        <v>42679</v>
      </c>
      <c r="X156" s="22"/>
      <c r="Y156" s="13"/>
      <c r="Z156" s="14"/>
      <c r="AC156" s="22"/>
      <c r="AD156" s="13"/>
      <c r="AE156" s="14"/>
      <c r="AH156" s="22"/>
      <c r="AI156" s="13"/>
      <c r="AJ156" s="14"/>
      <c r="AM156" s="22"/>
      <c r="AN156" s="13"/>
      <c r="AO156" s="14"/>
      <c r="AR156" s="22"/>
      <c r="AS156" s="13"/>
      <c r="AT156" s="14"/>
      <c r="AW156" s="22"/>
      <c r="AX156" s="13"/>
      <c r="AY156" s="14"/>
      <c r="BB156" s="22"/>
      <c r="BC156" s="13"/>
      <c r="BD156" s="14"/>
    </row>
    <row r="157" spans="1:56" x14ac:dyDescent="0.25">
      <c r="A157" s="15">
        <f t="shared" si="44"/>
        <v>0</v>
      </c>
      <c r="B157" s="20">
        <v>43289</v>
      </c>
      <c r="D157" s="12"/>
      <c r="E157" s="12"/>
      <c r="I157" s="12"/>
      <c r="J157" s="17"/>
      <c r="N157" s="12"/>
      <c r="O157" s="17"/>
      <c r="S157" s="22">
        <f t="shared" si="46"/>
        <v>3</v>
      </c>
      <c r="T157" s="13">
        <f t="shared" si="45"/>
        <v>1320682211.2976558</v>
      </c>
      <c r="U157" s="14">
        <v>42680</v>
      </c>
      <c r="X157" s="22"/>
      <c r="Y157" s="13"/>
      <c r="Z157" s="14"/>
      <c r="AC157" s="22"/>
      <c r="AD157" s="13"/>
      <c r="AE157" s="14"/>
      <c r="AH157" s="22"/>
      <c r="AI157" s="13"/>
      <c r="AJ157" s="14"/>
      <c r="AM157" s="22"/>
      <c r="AN157" s="13"/>
      <c r="AO157" s="14"/>
      <c r="AR157" s="22"/>
      <c r="AS157" s="13"/>
      <c r="AT157" s="14"/>
      <c r="AW157" s="22"/>
      <c r="AX157" s="13"/>
      <c r="AY157" s="14"/>
      <c r="BB157" s="22"/>
      <c r="BC157" s="13"/>
      <c r="BD157" s="14"/>
    </row>
    <row r="158" spans="1:56" x14ac:dyDescent="0.25">
      <c r="A158" s="15">
        <f t="shared" si="44"/>
        <v>0</v>
      </c>
      <c r="B158" s="20">
        <v>43290</v>
      </c>
      <c r="D158" s="12"/>
      <c r="E158" s="12"/>
      <c r="I158" s="12"/>
      <c r="J158" s="17"/>
      <c r="N158" s="12"/>
      <c r="O158" s="17"/>
      <c r="S158" s="22">
        <f t="shared" si="46"/>
        <v>2</v>
      </c>
      <c r="T158" s="13">
        <f t="shared" si="45"/>
        <v>1320838122.5694132</v>
      </c>
      <c r="U158" s="14">
        <v>42681</v>
      </c>
      <c r="X158" s="22"/>
      <c r="Y158" s="13"/>
      <c r="Z158" s="14"/>
      <c r="AC158" s="22"/>
      <c r="AD158" s="13"/>
      <c r="AE158" s="14"/>
      <c r="AH158" s="22"/>
      <c r="AI158" s="13"/>
      <c r="AJ158" s="14"/>
      <c r="AM158" s="22"/>
      <c r="AN158" s="13"/>
      <c r="AO158" s="14"/>
      <c r="AR158" s="22"/>
      <c r="AS158" s="13"/>
      <c r="AT158" s="14"/>
      <c r="AW158" s="22"/>
      <c r="AX158" s="13"/>
      <c r="AY158" s="14"/>
      <c r="BB158" s="22"/>
      <c r="BC158" s="13"/>
      <c r="BD158" s="14"/>
    </row>
    <row r="159" spans="1:56" x14ac:dyDescent="0.25">
      <c r="A159" s="15">
        <f t="shared" si="44"/>
        <v>0</v>
      </c>
      <c r="B159" s="20">
        <v>43291</v>
      </c>
      <c r="D159" s="12"/>
      <c r="E159" s="12"/>
      <c r="I159" s="12"/>
      <c r="J159" s="17"/>
      <c r="N159" s="12"/>
      <c r="O159" s="17"/>
      <c r="S159" s="22">
        <f t="shared" si="46"/>
        <v>1</v>
      </c>
      <c r="T159" s="13">
        <f t="shared" si="45"/>
        <v>1320994070.6572866</v>
      </c>
      <c r="U159" s="14">
        <v>42682</v>
      </c>
      <c r="X159" s="22"/>
      <c r="Y159" s="13"/>
      <c r="Z159" s="14"/>
      <c r="AC159" s="22"/>
      <c r="AD159" s="13"/>
      <c r="AE159" s="14"/>
      <c r="AH159" s="22"/>
      <c r="AI159" s="13"/>
      <c r="AJ159" s="14"/>
      <c r="AM159" s="22"/>
      <c r="AN159" s="13"/>
      <c r="AO159" s="14"/>
      <c r="AR159" s="22"/>
      <c r="AS159" s="13"/>
      <c r="AT159" s="14"/>
      <c r="AW159" s="22"/>
      <c r="AX159" s="13"/>
      <c r="AY159" s="14"/>
      <c r="BB159" s="22"/>
      <c r="BC159" s="13"/>
      <c r="BD159" s="14"/>
    </row>
    <row r="160" spans="1:56" x14ac:dyDescent="0.25">
      <c r="A160" s="15">
        <f t="shared" si="44"/>
        <v>0</v>
      </c>
      <c r="B160" s="20">
        <v>43292</v>
      </c>
      <c r="D160" s="12"/>
      <c r="E160" s="12"/>
      <c r="I160" s="12"/>
      <c r="J160" s="17"/>
      <c r="N160" s="12"/>
      <c r="O160" s="17"/>
      <c r="S160" s="22">
        <f t="shared" si="46"/>
        <v>0</v>
      </c>
      <c r="T160" s="13">
        <f t="shared" si="45"/>
        <v>1321150055.5743179</v>
      </c>
      <c r="U160" s="14">
        <v>42683</v>
      </c>
      <c r="X160" s="22"/>
      <c r="Y160" s="13"/>
      <c r="Z160" s="14"/>
      <c r="AC160" s="22"/>
      <c r="AD160" s="13"/>
      <c r="AE160" s="14"/>
      <c r="AH160" s="22"/>
      <c r="AI160" s="13"/>
      <c r="AJ160" s="14"/>
      <c r="AM160" s="22"/>
      <c r="AN160" s="13"/>
      <c r="AO160" s="14"/>
      <c r="AR160" s="22"/>
      <c r="AS160" s="13"/>
      <c r="AT160" s="14"/>
      <c r="AW160" s="22"/>
      <c r="AX160" s="13"/>
      <c r="AY160" s="14"/>
      <c r="BB160" s="22"/>
      <c r="BC160" s="13"/>
      <c r="BD160" s="14"/>
    </row>
    <row r="161" spans="1:55" x14ac:dyDescent="0.25">
      <c r="A161" s="15">
        <f t="shared" si="44"/>
        <v>0</v>
      </c>
      <c r="B161" s="20">
        <v>43293</v>
      </c>
      <c r="D161" s="12"/>
      <c r="E161" s="12"/>
      <c r="I161" s="12"/>
      <c r="J161" s="17"/>
      <c r="N161" s="12"/>
      <c r="O161" s="17"/>
      <c r="S161" s="12"/>
      <c r="T161" s="13"/>
      <c r="X161" s="12"/>
      <c r="Y161" s="13"/>
      <c r="AC161" s="12"/>
      <c r="AD161" s="13"/>
      <c r="AH161" s="12"/>
      <c r="AI161" s="13"/>
      <c r="AM161" s="12"/>
      <c r="AN161" s="13"/>
      <c r="AR161" s="12"/>
      <c r="AS161" s="13"/>
      <c r="AW161" s="12"/>
      <c r="AX161" s="13"/>
      <c r="BB161" s="12"/>
      <c r="BC161" s="13"/>
    </row>
    <row r="162" spans="1:55" x14ac:dyDescent="0.25">
      <c r="A162" s="15">
        <f t="shared" si="44"/>
        <v>0</v>
      </c>
      <c r="B162" s="20">
        <v>43294</v>
      </c>
      <c r="D162" s="12"/>
      <c r="E162" s="12"/>
      <c r="I162" s="12"/>
      <c r="J162" s="17"/>
      <c r="N162" s="12"/>
      <c r="O162" s="17"/>
      <c r="S162" s="12"/>
      <c r="T162" s="13"/>
      <c r="X162" s="12"/>
      <c r="Y162" s="13"/>
      <c r="AC162" s="12"/>
      <c r="AD162" s="13"/>
      <c r="AH162" s="12"/>
      <c r="AI162" s="13"/>
      <c r="AM162" s="12"/>
      <c r="AN162" s="13"/>
      <c r="AR162" s="12"/>
      <c r="AS162" s="13"/>
      <c r="AW162" s="12"/>
      <c r="AX162" s="13"/>
      <c r="BB162" s="12"/>
      <c r="BC162" s="13"/>
    </row>
    <row r="163" spans="1:55" x14ac:dyDescent="0.25">
      <c r="A163" s="15">
        <f t="shared" si="44"/>
        <v>0</v>
      </c>
      <c r="B163" s="20">
        <v>43295</v>
      </c>
      <c r="D163" s="12"/>
      <c r="E163" s="12"/>
      <c r="I163" s="12"/>
      <c r="J163" s="17"/>
      <c r="N163" s="12"/>
      <c r="O163" s="17"/>
      <c r="S163" s="12"/>
      <c r="T163" s="13"/>
      <c r="X163" s="12"/>
      <c r="Y163" s="13"/>
      <c r="AC163" s="12"/>
      <c r="AD163" s="13"/>
      <c r="AH163" s="12"/>
      <c r="AI163" s="13"/>
      <c r="AM163" s="12"/>
      <c r="AN163" s="13"/>
      <c r="AR163" s="12"/>
      <c r="AS163" s="13"/>
      <c r="AW163" s="12"/>
      <c r="AX163" s="13"/>
      <c r="BB163" s="12"/>
      <c r="BC163" s="13"/>
    </row>
    <row r="164" spans="1:55" x14ac:dyDescent="0.25">
      <c r="A164" s="15">
        <f t="shared" si="44"/>
        <v>0</v>
      </c>
      <c r="B164" s="20">
        <v>43296</v>
      </c>
      <c r="D164" s="12"/>
      <c r="E164" s="12"/>
      <c r="I164" s="12"/>
      <c r="J164" s="12"/>
      <c r="N164" s="12"/>
      <c r="O164" s="12"/>
      <c r="S164" s="12"/>
      <c r="T164" s="13"/>
      <c r="X164" s="12"/>
      <c r="Y164" s="13"/>
      <c r="AC164" s="12"/>
      <c r="AD164" s="13"/>
      <c r="AH164" s="12"/>
      <c r="AI164" s="13"/>
      <c r="AM164" s="12"/>
      <c r="AN164" s="13"/>
      <c r="AR164" s="12"/>
      <c r="AS164" s="13"/>
      <c r="AW164" s="12"/>
      <c r="AX164" s="13"/>
      <c r="BB164" s="12"/>
      <c r="BC164" s="13"/>
    </row>
    <row r="165" spans="1:55" x14ac:dyDescent="0.25">
      <c r="A165" s="15">
        <f t="shared" si="44"/>
        <v>0</v>
      </c>
      <c r="B165" s="20">
        <v>43297</v>
      </c>
      <c r="D165" s="12"/>
      <c r="E165" s="12"/>
      <c r="I165" s="12"/>
      <c r="J165" s="12"/>
      <c r="N165" s="12"/>
      <c r="O165" s="12"/>
      <c r="S165" s="12"/>
      <c r="T165" s="13"/>
      <c r="X165" s="12"/>
      <c r="Y165" s="13"/>
      <c r="AC165" s="12"/>
      <c r="AD165" s="13"/>
      <c r="AH165" s="12"/>
      <c r="AI165" s="13"/>
      <c r="AM165" s="12"/>
      <c r="AN165" s="13"/>
      <c r="AR165" s="12"/>
      <c r="AS165" s="13"/>
      <c r="AW165" s="12"/>
      <c r="AX165" s="13"/>
      <c r="BB165" s="12"/>
      <c r="BC165" s="13"/>
    </row>
    <row r="166" spans="1:55" x14ac:dyDescent="0.25">
      <c r="A166" s="15">
        <f t="shared" si="44"/>
        <v>0</v>
      </c>
      <c r="B166" s="20">
        <v>43298</v>
      </c>
      <c r="D166" s="12"/>
      <c r="E166" s="12"/>
      <c r="I166" s="12"/>
      <c r="J166" s="12"/>
      <c r="N166" s="12"/>
      <c r="O166" s="12"/>
      <c r="S166" s="12"/>
      <c r="T166" s="13"/>
      <c r="X166" s="12"/>
      <c r="Y166" s="13"/>
      <c r="AC166" s="12"/>
      <c r="AD166" s="13"/>
      <c r="AH166" s="12"/>
      <c r="AI166" s="13"/>
      <c r="AM166" s="12"/>
      <c r="AN166" s="13"/>
      <c r="AR166" s="12"/>
      <c r="AS166" s="13"/>
      <c r="AW166" s="12"/>
      <c r="AX166" s="13"/>
      <c r="BB166" s="12"/>
      <c r="BC166" s="13"/>
    </row>
    <row r="167" spans="1:55" x14ac:dyDescent="0.25">
      <c r="A167" s="15">
        <f t="shared" si="44"/>
        <v>0</v>
      </c>
      <c r="B167" s="20">
        <v>43299</v>
      </c>
      <c r="D167" s="12"/>
      <c r="E167" s="12"/>
      <c r="I167" s="12"/>
      <c r="J167" s="12"/>
      <c r="N167" s="12"/>
      <c r="O167" s="12"/>
      <c r="S167" s="12"/>
      <c r="T167" s="13"/>
      <c r="X167" s="12"/>
      <c r="Y167" s="13"/>
      <c r="AC167" s="12"/>
      <c r="AD167" s="13"/>
      <c r="AH167" s="12"/>
      <c r="AI167" s="13"/>
      <c r="AM167" s="12"/>
      <c r="AN167" s="13"/>
      <c r="AR167" s="12"/>
      <c r="AS167" s="13"/>
      <c r="AW167" s="12"/>
      <c r="AX167" s="13"/>
      <c r="BB167" s="12"/>
      <c r="BC167" s="13"/>
    </row>
    <row r="168" spans="1:55" x14ac:dyDescent="0.25">
      <c r="A168" s="15">
        <f t="shared" si="44"/>
        <v>0</v>
      </c>
      <c r="B168" s="20">
        <v>43300</v>
      </c>
      <c r="D168" s="12"/>
      <c r="E168" s="12"/>
      <c r="I168" s="12"/>
      <c r="J168" s="12"/>
      <c r="N168" s="12"/>
      <c r="O168" s="12"/>
      <c r="S168" s="12"/>
      <c r="T168" s="13"/>
      <c r="X168" s="12"/>
      <c r="Y168" s="13"/>
      <c r="AC168" s="12"/>
      <c r="AD168" s="13"/>
      <c r="AH168" s="12"/>
      <c r="AI168" s="13"/>
      <c r="AM168" s="12"/>
      <c r="AN168" s="13"/>
      <c r="AR168" s="12"/>
      <c r="AS168" s="13"/>
      <c r="AW168" s="12"/>
      <c r="AX168" s="13"/>
      <c r="BB168" s="12"/>
      <c r="BC168" s="13"/>
    </row>
    <row r="169" spans="1:55" x14ac:dyDescent="0.25">
      <c r="A169" s="15">
        <f t="shared" si="44"/>
        <v>0</v>
      </c>
      <c r="B169" s="20">
        <v>43301</v>
      </c>
      <c r="D169" s="12"/>
      <c r="E169" s="12"/>
      <c r="I169" s="12"/>
      <c r="J169" s="12"/>
      <c r="N169" s="12"/>
      <c r="O169" s="12"/>
      <c r="S169" s="12"/>
      <c r="T169" s="12"/>
      <c r="X169" s="12"/>
      <c r="Y169" s="12"/>
      <c r="AC169" s="12"/>
      <c r="AD169" s="12"/>
      <c r="AH169" s="12"/>
      <c r="AI169" s="12"/>
      <c r="AM169" s="12"/>
      <c r="AN169" s="12"/>
      <c r="AR169" s="12"/>
      <c r="AS169" s="12"/>
      <c r="AW169" s="12"/>
      <c r="AX169" s="12"/>
      <c r="BB169" s="12"/>
      <c r="BC169" s="12"/>
    </row>
    <row r="170" spans="1:55" x14ac:dyDescent="0.25">
      <c r="A170" s="15">
        <f t="shared" si="44"/>
        <v>0</v>
      </c>
      <c r="B170" s="20">
        <v>43302</v>
      </c>
      <c r="D170" s="12"/>
      <c r="E170" s="12"/>
      <c r="I170" s="12"/>
      <c r="J170" s="12"/>
      <c r="N170" s="12"/>
      <c r="O170" s="12"/>
      <c r="S170" s="12"/>
      <c r="T170" s="12"/>
      <c r="X170" s="12"/>
      <c r="Y170" s="12"/>
      <c r="AC170" s="12"/>
      <c r="AD170" s="12"/>
      <c r="AH170" s="12"/>
      <c r="AI170" s="12"/>
      <c r="AM170" s="12"/>
      <c r="AN170" s="12"/>
      <c r="AR170" s="12"/>
      <c r="AS170" s="12"/>
      <c r="AW170" s="12"/>
      <c r="AX170" s="12"/>
      <c r="BB170" s="12"/>
      <c r="BC170" s="12"/>
    </row>
    <row r="171" spans="1:55" x14ac:dyDescent="0.25">
      <c r="A171" s="15">
        <f t="shared" si="44"/>
        <v>0</v>
      </c>
      <c r="B171" s="20">
        <v>43303</v>
      </c>
      <c r="D171" s="12"/>
      <c r="E171" s="12"/>
      <c r="I171" s="12"/>
      <c r="J171" s="12"/>
      <c r="N171" s="12"/>
      <c r="O171" s="12"/>
      <c r="S171" s="12"/>
      <c r="T171" s="12"/>
      <c r="X171" s="12"/>
      <c r="Y171" s="12"/>
      <c r="AC171" s="12"/>
      <c r="AD171" s="12"/>
      <c r="AH171" s="12"/>
      <c r="AI171" s="12"/>
      <c r="AM171" s="12"/>
      <c r="AN171" s="12"/>
      <c r="AR171" s="12"/>
      <c r="AS171" s="12"/>
      <c r="AW171" s="12"/>
      <c r="AX171" s="12"/>
      <c r="BB171" s="12"/>
      <c r="BC171" s="12"/>
    </row>
    <row r="172" spans="1:55" x14ac:dyDescent="0.25">
      <c r="A172" s="15">
        <f t="shared" si="44"/>
        <v>0</v>
      </c>
      <c r="B172" s="20">
        <v>43304</v>
      </c>
      <c r="D172" s="12"/>
      <c r="E172" s="12"/>
      <c r="I172" s="12"/>
      <c r="J172" s="12"/>
      <c r="N172" s="12"/>
      <c r="O172" s="12"/>
      <c r="S172" s="12"/>
      <c r="T172" s="12"/>
      <c r="X172" s="12"/>
      <c r="Y172" s="12"/>
      <c r="AC172" s="12"/>
      <c r="AD172" s="12"/>
      <c r="AH172" s="12"/>
      <c r="AI172" s="12"/>
      <c r="AM172" s="12"/>
      <c r="AN172" s="12"/>
      <c r="AR172" s="12"/>
      <c r="AS172" s="12"/>
      <c r="AW172" s="12"/>
      <c r="AX172" s="12"/>
      <c r="BB172" s="12"/>
      <c r="BC172" s="12"/>
    </row>
    <row r="173" spans="1:55" x14ac:dyDescent="0.25">
      <c r="A173" s="15">
        <f t="shared" si="44"/>
        <v>0</v>
      </c>
      <c r="B173" s="20">
        <v>43305</v>
      </c>
      <c r="D173" s="12"/>
      <c r="E173" s="12"/>
      <c r="I173" s="12"/>
      <c r="J173" s="12"/>
      <c r="N173" s="12"/>
      <c r="O173" s="12"/>
      <c r="S173" s="12"/>
      <c r="T173" s="12"/>
      <c r="X173" s="12"/>
      <c r="Y173" s="12"/>
      <c r="AC173" s="12"/>
      <c r="AD173" s="12"/>
      <c r="AH173" s="12"/>
      <c r="AI173" s="12"/>
      <c r="AM173" s="12"/>
      <c r="AN173" s="12"/>
      <c r="AR173" s="12"/>
      <c r="AS173" s="12"/>
      <c r="AW173" s="12"/>
      <c r="AX173" s="12"/>
      <c r="BB173" s="12"/>
      <c r="BC173" s="12"/>
    </row>
    <row r="174" spans="1:55" x14ac:dyDescent="0.25">
      <c r="A174" s="15">
        <f t="shared" si="44"/>
        <v>0</v>
      </c>
      <c r="B174" s="20">
        <v>43306</v>
      </c>
      <c r="D174" s="12"/>
      <c r="E174" s="12"/>
      <c r="I174" s="12"/>
      <c r="J174" s="12"/>
      <c r="N174" s="12"/>
      <c r="O174" s="12"/>
      <c r="S174" s="12"/>
      <c r="T174" s="12"/>
      <c r="X174" s="12"/>
      <c r="Y174" s="12"/>
      <c r="AC174" s="12"/>
      <c r="AD174" s="12"/>
      <c r="AH174" s="12"/>
      <c r="AI174" s="12"/>
      <c r="AM174" s="12"/>
      <c r="AN174" s="12"/>
      <c r="AR174" s="12"/>
      <c r="AS174" s="12"/>
      <c r="AW174" s="12"/>
      <c r="AX174" s="12"/>
      <c r="BB174" s="12"/>
      <c r="BC174" s="12"/>
    </row>
    <row r="175" spans="1:55" x14ac:dyDescent="0.25">
      <c r="A175" s="15">
        <f t="shared" si="44"/>
        <v>0</v>
      </c>
      <c r="B175" s="20">
        <v>43307</v>
      </c>
      <c r="D175" s="12"/>
      <c r="E175" s="12"/>
      <c r="I175" s="12"/>
      <c r="J175" s="12"/>
      <c r="N175" s="12"/>
      <c r="O175" s="12"/>
      <c r="S175" s="12"/>
      <c r="T175" s="12"/>
      <c r="X175" s="12"/>
      <c r="Y175" s="12"/>
      <c r="AC175" s="12"/>
      <c r="AD175" s="12"/>
      <c r="AH175" s="12"/>
      <c r="AI175" s="12"/>
      <c r="AM175" s="12"/>
      <c r="AN175" s="12"/>
      <c r="AR175" s="12"/>
      <c r="AS175" s="12"/>
      <c r="AW175" s="12"/>
      <c r="AX175" s="12"/>
      <c r="BB175" s="12"/>
      <c r="BC175" s="12"/>
    </row>
    <row r="176" spans="1:55" x14ac:dyDescent="0.25">
      <c r="A176" s="15">
        <f t="shared" ref="A176:A239" si="47">+AN176+AS158+AX152+BC137</f>
        <v>0</v>
      </c>
      <c r="B176" s="20">
        <v>43308</v>
      </c>
      <c r="D176" s="12"/>
      <c r="E176" s="12"/>
      <c r="I176" s="12"/>
      <c r="J176" s="12"/>
      <c r="N176" s="12"/>
      <c r="O176" s="12"/>
      <c r="S176" s="12"/>
      <c r="T176" s="12"/>
      <c r="X176" s="12"/>
      <c r="Y176" s="12"/>
      <c r="AC176" s="12"/>
      <c r="AD176" s="12"/>
      <c r="AH176" s="12"/>
      <c r="AI176" s="12"/>
      <c r="AM176" s="12"/>
      <c r="AN176" s="12"/>
      <c r="AR176" s="12"/>
      <c r="AS176" s="12"/>
      <c r="AW176" s="12"/>
      <c r="AX176" s="12"/>
      <c r="BB176" s="12"/>
      <c r="BC176" s="12"/>
    </row>
    <row r="177" spans="1:55" x14ac:dyDescent="0.25">
      <c r="A177" s="15">
        <f t="shared" si="47"/>
        <v>0</v>
      </c>
      <c r="B177" s="20">
        <v>43309</v>
      </c>
      <c r="D177" s="12"/>
      <c r="E177" s="12"/>
      <c r="I177" s="12"/>
      <c r="J177" s="12"/>
      <c r="N177" s="12"/>
      <c r="O177" s="12"/>
      <c r="S177" s="12"/>
      <c r="T177" s="12"/>
      <c r="X177" s="12"/>
      <c r="Y177" s="12"/>
      <c r="AC177" s="12"/>
      <c r="AD177" s="12"/>
      <c r="AH177" s="12"/>
      <c r="AI177" s="12"/>
      <c r="AM177" s="12"/>
      <c r="AN177" s="12"/>
      <c r="AR177" s="12"/>
      <c r="AS177" s="12"/>
      <c r="AW177" s="12"/>
      <c r="AX177" s="12"/>
      <c r="BB177" s="12"/>
      <c r="BC177" s="12"/>
    </row>
    <row r="178" spans="1:55" x14ac:dyDescent="0.25">
      <c r="A178" s="15">
        <f t="shared" si="47"/>
        <v>0</v>
      </c>
      <c r="B178" s="20">
        <v>43310</v>
      </c>
      <c r="D178" s="12"/>
      <c r="E178" s="12"/>
      <c r="I178" s="12"/>
      <c r="J178" s="12"/>
      <c r="N178" s="12"/>
      <c r="O178" s="12"/>
      <c r="S178" s="12"/>
      <c r="T178" s="12"/>
      <c r="X178" s="12"/>
      <c r="Y178" s="12"/>
      <c r="AC178" s="12"/>
      <c r="AD178" s="12"/>
      <c r="AH178" s="12"/>
      <c r="AI178" s="12"/>
      <c r="AM178" s="12"/>
      <c r="AN178" s="12"/>
      <c r="AR178" s="12"/>
      <c r="AS178" s="12"/>
      <c r="AW178" s="12"/>
      <c r="AX178" s="12"/>
      <c r="BB178" s="12"/>
      <c r="BC178" s="12"/>
    </row>
    <row r="179" spans="1:55" x14ac:dyDescent="0.25">
      <c r="A179" s="15">
        <f t="shared" si="47"/>
        <v>0</v>
      </c>
      <c r="B179" s="20">
        <v>43311</v>
      </c>
      <c r="D179" s="12"/>
      <c r="E179" s="12"/>
      <c r="I179" s="12"/>
      <c r="J179" s="12"/>
      <c r="N179" s="12"/>
      <c r="O179" s="12"/>
      <c r="S179" s="12"/>
      <c r="T179" s="12"/>
      <c r="X179" s="12"/>
      <c r="Y179" s="12"/>
      <c r="AC179" s="12"/>
      <c r="AD179" s="12"/>
      <c r="AH179" s="12"/>
      <c r="AI179" s="12"/>
      <c r="AM179" s="12"/>
      <c r="AN179" s="12"/>
      <c r="AR179" s="12"/>
      <c r="AS179" s="12"/>
      <c r="AW179" s="12"/>
      <c r="AX179" s="12"/>
      <c r="BB179" s="12"/>
      <c r="BC179" s="12"/>
    </row>
    <row r="180" spans="1:55" x14ac:dyDescent="0.25">
      <c r="A180" s="15">
        <f t="shared" si="47"/>
        <v>0</v>
      </c>
      <c r="B180" s="20">
        <v>43312</v>
      </c>
      <c r="D180" s="12"/>
      <c r="E180" s="12"/>
      <c r="I180" s="12"/>
      <c r="J180" s="12"/>
      <c r="N180" s="12"/>
      <c r="O180" s="12"/>
      <c r="S180" s="12"/>
      <c r="T180" s="12"/>
      <c r="X180" s="12"/>
      <c r="Y180" s="12"/>
      <c r="AC180" s="12"/>
      <c r="AD180" s="12"/>
      <c r="AH180" s="12"/>
      <c r="AI180" s="12"/>
      <c r="AM180" s="12"/>
      <c r="AN180" s="12"/>
      <c r="AR180" s="12"/>
      <c r="AS180" s="12"/>
      <c r="AW180" s="12"/>
      <c r="AX180" s="12"/>
      <c r="BB180" s="12"/>
      <c r="BC180" s="12"/>
    </row>
    <row r="181" spans="1:55" x14ac:dyDescent="0.25">
      <c r="A181" s="15">
        <f t="shared" si="47"/>
        <v>0</v>
      </c>
      <c r="B181" s="20">
        <v>43313</v>
      </c>
      <c r="D181" s="12"/>
      <c r="E181" s="12"/>
      <c r="I181" s="12"/>
      <c r="J181" s="12"/>
      <c r="N181" s="12"/>
      <c r="O181" s="12"/>
      <c r="S181" s="12"/>
      <c r="T181" s="12"/>
      <c r="X181" s="12"/>
      <c r="Y181" s="12"/>
      <c r="AC181" s="12"/>
      <c r="AD181" s="12"/>
      <c r="AH181" s="12"/>
      <c r="AI181" s="12"/>
      <c r="AM181" s="12"/>
      <c r="AN181" s="12"/>
      <c r="AR181" s="12"/>
      <c r="AS181" s="12"/>
      <c r="AW181" s="12"/>
      <c r="AX181" s="12"/>
      <c r="BB181" s="12"/>
      <c r="BC181" s="12"/>
    </row>
    <row r="182" spans="1:55" x14ac:dyDescent="0.25">
      <c r="A182" s="15">
        <f t="shared" si="47"/>
        <v>0</v>
      </c>
      <c r="B182" s="20">
        <v>43314</v>
      </c>
      <c r="D182" s="12"/>
      <c r="E182" s="12"/>
      <c r="I182" s="12"/>
      <c r="J182" s="12"/>
      <c r="N182" s="12"/>
      <c r="O182" s="12"/>
      <c r="S182" s="12"/>
      <c r="T182" s="12"/>
      <c r="X182" s="12"/>
      <c r="Y182" s="12"/>
      <c r="AC182" s="12"/>
      <c r="AD182" s="12"/>
      <c r="AH182" s="12"/>
      <c r="AI182" s="12"/>
      <c r="AM182" s="12"/>
      <c r="AN182" s="12"/>
      <c r="AR182" s="12"/>
      <c r="AS182" s="12"/>
      <c r="AW182" s="12"/>
      <c r="AX182" s="12"/>
      <c r="BB182" s="12"/>
      <c r="BC182" s="12"/>
    </row>
    <row r="183" spans="1:55" x14ac:dyDescent="0.25">
      <c r="A183" s="15">
        <f t="shared" si="47"/>
        <v>0</v>
      </c>
      <c r="B183" s="20">
        <v>43315</v>
      </c>
      <c r="D183" s="12"/>
      <c r="E183" s="12"/>
      <c r="I183" s="12"/>
      <c r="J183" s="12"/>
      <c r="N183" s="12"/>
      <c r="O183" s="12"/>
      <c r="S183" s="12"/>
      <c r="T183" s="12"/>
      <c r="X183" s="12"/>
      <c r="Y183" s="12"/>
      <c r="AC183" s="12"/>
      <c r="AD183" s="12"/>
      <c r="AH183" s="12"/>
      <c r="AI183" s="12"/>
      <c r="AM183" s="12"/>
      <c r="AN183" s="12"/>
      <c r="AR183" s="12"/>
      <c r="AS183" s="12"/>
      <c r="AW183" s="12"/>
      <c r="AX183" s="12"/>
      <c r="BB183" s="12"/>
      <c r="BC183" s="12"/>
    </row>
    <row r="184" spans="1:55" x14ac:dyDescent="0.25">
      <c r="A184" s="15">
        <f t="shared" si="47"/>
        <v>0</v>
      </c>
      <c r="B184" s="20">
        <v>43316</v>
      </c>
      <c r="D184" s="12"/>
      <c r="E184" s="12"/>
      <c r="I184" s="12"/>
      <c r="J184" s="12"/>
      <c r="N184" s="12"/>
      <c r="O184" s="12"/>
      <c r="S184" s="12"/>
      <c r="T184" s="12"/>
      <c r="X184" s="12"/>
      <c r="Y184" s="12"/>
      <c r="AC184" s="12"/>
      <c r="AD184" s="12"/>
      <c r="AH184" s="12"/>
      <c r="AI184" s="12"/>
      <c r="AM184" s="12"/>
      <c r="AN184" s="12"/>
      <c r="AR184" s="12"/>
      <c r="AS184" s="12"/>
      <c r="AW184" s="12"/>
      <c r="AX184" s="12"/>
      <c r="BB184" s="12"/>
      <c r="BC184" s="12"/>
    </row>
    <row r="185" spans="1:55" x14ac:dyDescent="0.25">
      <c r="A185" s="15">
        <f t="shared" si="47"/>
        <v>0</v>
      </c>
      <c r="B185" s="20">
        <v>43317</v>
      </c>
      <c r="D185" s="12"/>
      <c r="E185" s="12"/>
      <c r="I185" s="12"/>
      <c r="J185" s="12"/>
      <c r="N185" s="12"/>
      <c r="O185" s="12"/>
      <c r="S185" s="12"/>
      <c r="T185" s="12"/>
      <c r="X185" s="12"/>
      <c r="Y185" s="12"/>
      <c r="AC185" s="12"/>
      <c r="AD185" s="12"/>
      <c r="AH185" s="12"/>
      <c r="AI185" s="12"/>
      <c r="AM185" s="12"/>
      <c r="AN185" s="12"/>
      <c r="AR185" s="12"/>
      <c r="AS185" s="12"/>
      <c r="AW185" s="12"/>
      <c r="AX185" s="12"/>
      <c r="BB185" s="12"/>
      <c r="BC185" s="12"/>
    </row>
    <row r="186" spans="1:55" x14ac:dyDescent="0.25">
      <c r="A186" s="15">
        <f t="shared" si="47"/>
        <v>0</v>
      </c>
      <c r="B186" s="20">
        <v>43318</v>
      </c>
      <c r="D186" s="12"/>
      <c r="E186" s="12"/>
      <c r="I186" s="12"/>
      <c r="J186" s="12"/>
      <c r="N186" s="12"/>
      <c r="O186" s="12"/>
      <c r="S186" s="12"/>
      <c r="T186" s="12"/>
      <c r="X186" s="12"/>
      <c r="Y186" s="12"/>
      <c r="AC186" s="12"/>
      <c r="AD186" s="12"/>
      <c r="AH186" s="12"/>
      <c r="AI186" s="12"/>
      <c r="AM186" s="12"/>
      <c r="AN186" s="12"/>
      <c r="AR186" s="12"/>
      <c r="AS186" s="12"/>
      <c r="AW186" s="12"/>
      <c r="AX186" s="12"/>
      <c r="BB186" s="12"/>
      <c r="BC186" s="12"/>
    </row>
    <row r="187" spans="1:55" x14ac:dyDescent="0.25">
      <c r="A187" s="15">
        <f t="shared" si="47"/>
        <v>0</v>
      </c>
      <c r="B187" s="20">
        <v>43319</v>
      </c>
      <c r="D187" s="12"/>
      <c r="E187" s="12"/>
      <c r="I187" s="12"/>
      <c r="J187" s="12"/>
      <c r="N187" s="12"/>
      <c r="O187" s="12"/>
      <c r="S187" s="12"/>
      <c r="T187" s="12"/>
      <c r="X187" s="12"/>
      <c r="Y187" s="12"/>
      <c r="AC187" s="12"/>
      <c r="AD187" s="12"/>
      <c r="AH187" s="12"/>
      <c r="AI187" s="12"/>
      <c r="AM187" s="12"/>
      <c r="AN187" s="12"/>
      <c r="AR187" s="12"/>
      <c r="AS187" s="12"/>
      <c r="AW187" s="12"/>
      <c r="AX187" s="12"/>
      <c r="BB187" s="12"/>
      <c r="BC187" s="12"/>
    </row>
    <row r="188" spans="1:55" x14ac:dyDescent="0.25">
      <c r="A188" s="15">
        <f t="shared" si="47"/>
        <v>0</v>
      </c>
      <c r="B188" s="20">
        <v>43320</v>
      </c>
      <c r="D188" s="12"/>
      <c r="E188" s="12"/>
      <c r="I188" s="12"/>
      <c r="J188" s="12"/>
      <c r="N188" s="12"/>
      <c r="O188" s="12"/>
      <c r="S188" s="12"/>
      <c r="T188" s="12"/>
      <c r="X188" s="12"/>
      <c r="Y188" s="12"/>
      <c r="AC188" s="12"/>
      <c r="AD188" s="12"/>
      <c r="AH188" s="12"/>
      <c r="AI188" s="12"/>
      <c r="AM188" s="12"/>
      <c r="AN188" s="12"/>
      <c r="AR188" s="12"/>
      <c r="AS188" s="12"/>
      <c r="AW188" s="12"/>
      <c r="AX188" s="12"/>
      <c r="BB188" s="12"/>
      <c r="BC188" s="12"/>
    </row>
    <row r="189" spans="1:55" x14ac:dyDescent="0.25">
      <c r="A189" s="15">
        <f t="shared" si="47"/>
        <v>0</v>
      </c>
      <c r="B189" s="20">
        <v>43321</v>
      </c>
      <c r="D189" s="12"/>
      <c r="E189" s="12"/>
      <c r="I189" s="12"/>
      <c r="J189" s="12"/>
      <c r="N189" s="12"/>
      <c r="O189" s="12"/>
      <c r="S189" s="12"/>
      <c r="T189" s="12"/>
      <c r="X189" s="12"/>
      <c r="Y189" s="12"/>
      <c r="AC189" s="12"/>
      <c r="AD189" s="12"/>
      <c r="AH189" s="12"/>
      <c r="AI189" s="12"/>
      <c r="AM189" s="12"/>
      <c r="AN189" s="12"/>
      <c r="AR189" s="12"/>
      <c r="AS189" s="12"/>
      <c r="AW189" s="12"/>
      <c r="AX189" s="12"/>
      <c r="BB189" s="12"/>
      <c r="BC189" s="12"/>
    </row>
    <row r="190" spans="1:55" x14ac:dyDescent="0.25">
      <c r="A190" s="15">
        <f t="shared" si="47"/>
        <v>0</v>
      </c>
      <c r="B190" s="20">
        <v>43322</v>
      </c>
      <c r="D190" s="12"/>
      <c r="E190" s="12"/>
      <c r="I190" s="12"/>
      <c r="J190" s="12"/>
      <c r="N190" s="12"/>
      <c r="O190" s="12"/>
      <c r="S190" s="12"/>
      <c r="T190" s="12"/>
      <c r="X190" s="12"/>
      <c r="Y190" s="12"/>
      <c r="AC190" s="12"/>
      <c r="AD190" s="12"/>
      <c r="AH190" s="12"/>
      <c r="AI190" s="12"/>
      <c r="AM190" s="12"/>
      <c r="AN190" s="12"/>
      <c r="AR190" s="12"/>
      <c r="AS190" s="12"/>
      <c r="AW190" s="12"/>
      <c r="AX190" s="12"/>
      <c r="BB190" s="12"/>
      <c r="BC190" s="12"/>
    </row>
    <row r="191" spans="1:55" x14ac:dyDescent="0.25">
      <c r="A191" s="15">
        <f t="shared" si="47"/>
        <v>0</v>
      </c>
      <c r="B191" s="20">
        <v>43323</v>
      </c>
      <c r="D191" s="12"/>
      <c r="E191" s="12"/>
      <c r="I191" s="12"/>
      <c r="J191" s="12"/>
      <c r="N191" s="12"/>
      <c r="O191" s="12"/>
      <c r="S191" s="12"/>
      <c r="T191" s="12"/>
      <c r="X191" s="12"/>
      <c r="Y191" s="12"/>
      <c r="AC191" s="12"/>
      <c r="AD191" s="12"/>
      <c r="AH191" s="12"/>
      <c r="AI191" s="12"/>
      <c r="AM191" s="12"/>
      <c r="AN191" s="12"/>
      <c r="AR191" s="12"/>
      <c r="AS191" s="12"/>
      <c r="AW191" s="12"/>
      <c r="AX191" s="12"/>
      <c r="BB191" s="12"/>
      <c r="BC191" s="12"/>
    </row>
    <row r="192" spans="1:55" x14ac:dyDescent="0.25">
      <c r="A192" s="15">
        <f t="shared" si="47"/>
        <v>0</v>
      </c>
      <c r="B192" s="20">
        <v>43324</v>
      </c>
      <c r="D192" s="12"/>
      <c r="E192" s="12"/>
      <c r="I192" s="12"/>
      <c r="J192" s="12"/>
      <c r="N192" s="12"/>
      <c r="O192" s="12"/>
      <c r="S192" s="12"/>
      <c r="T192" s="12"/>
      <c r="X192" s="12"/>
      <c r="Y192" s="12"/>
      <c r="AC192" s="12"/>
      <c r="AD192" s="12"/>
      <c r="AH192" s="12"/>
      <c r="AI192" s="12"/>
      <c r="AM192" s="12"/>
      <c r="AN192" s="12"/>
      <c r="AR192" s="12"/>
      <c r="AS192" s="12"/>
      <c r="AW192" s="12"/>
      <c r="AX192" s="12"/>
      <c r="BB192" s="12"/>
      <c r="BC192" s="12"/>
    </row>
    <row r="193" spans="1:55" x14ac:dyDescent="0.25">
      <c r="A193" s="15">
        <f t="shared" si="47"/>
        <v>0</v>
      </c>
      <c r="B193" s="20">
        <v>43325</v>
      </c>
      <c r="D193" s="12"/>
      <c r="E193" s="12"/>
      <c r="I193" s="12"/>
      <c r="J193" s="12"/>
      <c r="N193" s="12"/>
      <c r="O193" s="12"/>
      <c r="S193" s="12"/>
      <c r="T193" s="12"/>
      <c r="X193" s="12"/>
      <c r="Y193" s="12"/>
      <c r="AC193" s="12"/>
      <c r="AD193" s="12"/>
      <c r="AH193" s="12"/>
      <c r="AI193" s="12"/>
      <c r="AM193" s="12"/>
      <c r="AN193" s="12"/>
      <c r="AR193" s="12"/>
      <c r="AS193" s="12"/>
      <c r="AW193" s="12"/>
      <c r="AX193" s="12"/>
      <c r="BB193" s="12"/>
      <c r="BC193" s="12"/>
    </row>
    <row r="194" spans="1:55" x14ac:dyDescent="0.25">
      <c r="A194" s="15">
        <f t="shared" si="47"/>
        <v>0</v>
      </c>
      <c r="B194" s="20">
        <v>43326</v>
      </c>
      <c r="D194" s="12"/>
      <c r="E194" s="12"/>
      <c r="I194" s="12"/>
      <c r="J194" s="12"/>
      <c r="N194" s="12"/>
      <c r="O194" s="12"/>
      <c r="S194" s="12"/>
      <c r="T194" s="12"/>
      <c r="X194" s="12"/>
      <c r="Y194" s="12"/>
      <c r="AC194" s="12"/>
      <c r="AD194" s="12"/>
      <c r="AH194" s="12"/>
      <c r="AI194" s="12"/>
      <c r="AM194" s="12"/>
      <c r="AN194" s="12"/>
      <c r="AR194" s="12"/>
      <c r="AS194" s="12"/>
      <c r="AW194" s="12"/>
      <c r="AX194" s="12"/>
      <c r="BB194" s="12"/>
      <c r="BC194" s="12"/>
    </row>
    <row r="195" spans="1:55" x14ac:dyDescent="0.25">
      <c r="A195" s="15">
        <f t="shared" si="47"/>
        <v>0</v>
      </c>
      <c r="B195" s="20">
        <v>43327</v>
      </c>
      <c r="D195" s="12"/>
      <c r="E195" s="12"/>
      <c r="I195" s="12"/>
      <c r="J195" s="12"/>
      <c r="N195" s="12"/>
      <c r="O195" s="12"/>
      <c r="S195" s="12"/>
      <c r="T195" s="12"/>
      <c r="X195" s="12"/>
      <c r="Y195" s="12"/>
      <c r="AC195" s="12"/>
      <c r="AD195" s="12"/>
      <c r="AH195" s="12"/>
      <c r="AI195" s="12"/>
      <c r="AM195" s="12"/>
      <c r="AN195" s="12"/>
      <c r="AR195" s="12"/>
      <c r="AS195" s="12"/>
      <c r="AW195" s="12"/>
      <c r="AX195" s="12"/>
      <c r="BB195" s="12"/>
      <c r="BC195" s="12"/>
    </row>
    <row r="196" spans="1:55" x14ac:dyDescent="0.25">
      <c r="A196" s="15">
        <f t="shared" si="47"/>
        <v>0</v>
      </c>
      <c r="B196" s="20">
        <v>43328</v>
      </c>
      <c r="D196" s="12"/>
      <c r="E196" s="12"/>
      <c r="I196" s="12"/>
      <c r="J196" s="12"/>
      <c r="N196" s="12"/>
      <c r="O196" s="12"/>
      <c r="S196" s="12"/>
      <c r="T196" s="12"/>
      <c r="X196" s="12"/>
      <c r="Y196" s="12"/>
      <c r="AC196" s="12"/>
      <c r="AD196" s="12"/>
      <c r="AH196" s="12"/>
      <c r="AI196" s="12"/>
      <c r="AM196" s="12"/>
      <c r="AN196" s="12"/>
      <c r="AR196" s="12"/>
      <c r="AS196" s="12"/>
      <c r="AW196" s="12"/>
      <c r="AX196" s="12"/>
      <c r="BB196" s="12"/>
      <c r="BC196" s="12"/>
    </row>
    <row r="197" spans="1:55" x14ac:dyDescent="0.25">
      <c r="A197" s="15">
        <f t="shared" si="47"/>
        <v>0</v>
      </c>
      <c r="B197" s="20">
        <v>43329</v>
      </c>
      <c r="D197" s="12"/>
      <c r="E197" s="12"/>
      <c r="I197" s="12"/>
      <c r="J197" s="12"/>
      <c r="N197" s="12"/>
      <c r="O197" s="12"/>
      <c r="S197" s="12"/>
      <c r="T197" s="12"/>
      <c r="X197" s="12"/>
      <c r="Y197" s="12"/>
      <c r="AC197" s="12"/>
      <c r="AD197" s="12"/>
      <c r="AH197" s="12"/>
      <c r="AI197" s="12"/>
      <c r="AM197" s="12"/>
      <c r="AN197" s="12"/>
      <c r="AR197" s="12"/>
      <c r="AS197" s="12"/>
      <c r="AW197" s="12"/>
      <c r="AX197" s="12"/>
      <c r="BB197" s="12"/>
      <c r="BC197" s="12"/>
    </row>
    <row r="198" spans="1:55" x14ac:dyDescent="0.25">
      <c r="A198" s="15">
        <f t="shared" si="47"/>
        <v>0</v>
      </c>
      <c r="B198" s="20">
        <v>43330</v>
      </c>
      <c r="D198" s="12"/>
      <c r="E198" s="12"/>
      <c r="I198" s="12"/>
      <c r="J198" s="12"/>
      <c r="N198" s="12"/>
      <c r="O198" s="12"/>
      <c r="S198" s="12"/>
      <c r="T198" s="12"/>
      <c r="X198" s="12"/>
      <c r="Y198" s="12"/>
      <c r="AC198" s="12"/>
      <c r="AD198" s="12"/>
      <c r="AH198" s="12"/>
      <c r="AI198" s="12"/>
      <c r="AM198" s="12"/>
      <c r="AN198" s="12"/>
      <c r="AR198" s="12"/>
      <c r="AS198" s="12"/>
      <c r="AW198" s="12"/>
      <c r="AX198" s="12"/>
      <c r="BB198" s="12"/>
      <c r="BC198" s="12"/>
    </row>
    <row r="199" spans="1:55" x14ac:dyDescent="0.25">
      <c r="A199" s="15">
        <f t="shared" si="47"/>
        <v>0</v>
      </c>
      <c r="B199" s="20">
        <v>43331</v>
      </c>
      <c r="D199" s="12"/>
      <c r="E199" s="12"/>
      <c r="I199" s="12"/>
      <c r="J199" s="12"/>
      <c r="N199" s="12"/>
      <c r="O199" s="12"/>
      <c r="S199" s="12"/>
      <c r="T199" s="12"/>
      <c r="X199" s="12"/>
      <c r="Y199" s="12"/>
      <c r="AC199" s="12"/>
      <c r="AD199" s="12"/>
      <c r="AH199" s="12"/>
      <c r="AI199" s="12"/>
      <c r="AM199" s="12"/>
      <c r="AN199" s="12"/>
      <c r="AR199" s="12"/>
      <c r="AS199" s="12"/>
      <c r="AW199" s="12"/>
      <c r="AX199" s="12"/>
      <c r="BB199" s="12"/>
      <c r="BC199" s="12"/>
    </row>
    <row r="200" spans="1:55" x14ac:dyDescent="0.25">
      <c r="A200" s="15">
        <f t="shared" si="47"/>
        <v>0</v>
      </c>
      <c r="B200" s="20">
        <v>43332</v>
      </c>
      <c r="D200" s="12"/>
      <c r="E200" s="12"/>
      <c r="I200" s="12"/>
      <c r="J200" s="12"/>
      <c r="N200" s="12"/>
      <c r="O200" s="12"/>
      <c r="S200" s="12"/>
      <c r="T200" s="12"/>
      <c r="X200" s="12"/>
      <c r="Y200" s="12"/>
      <c r="AC200" s="12"/>
      <c r="AD200" s="12"/>
      <c r="AH200" s="12"/>
      <c r="AI200" s="12"/>
      <c r="AM200" s="12"/>
      <c r="AN200" s="12"/>
      <c r="AR200" s="12"/>
      <c r="AS200" s="12"/>
      <c r="AW200" s="12"/>
      <c r="AX200" s="12"/>
      <c r="BB200" s="12"/>
      <c r="BC200" s="12"/>
    </row>
    <row r="201" spans="1:55" x14ac:dyDescent="0.25">
      <c r="A201" s="15">
        <f t="shared" si="47"/>
        <v>0</v>
      </c>
      <c r="B201" s="20">
        <v>43333</v>
      </c>
      <c r="D201" s="12"/>
      <c r="E201" s="12"/>
      <c r="I201" s="12"/>
      <c r="J201" s="12"/>
      <c r="N201" s="12"/>
      <c r="O201" s="12"/>
      <c r="S201" s="12"/>
      <c r="T201" s="12"/>
      <c r="X201" s="12"/>
      <c r="Y201" s="12"/>
      <c r="AC201" s="12"/>
      <c r="AD201" s="12"/>
      <c r="AH201" s="12"/>
      <c r="AI201" s="12"/>
      <c r="AM201" s="12"/>
      <c r="AN201" s="12"/>
      <c r="AR201" s="12"/>
      <c r="AS201" s="12"/>
      <c r="AW201" s="12"/>
      <c r="AX201" s="12"/>
      <c r="BB201" s="12"/>
      <c r="BC201" s="12"/>
    </row>
    <row r="202" spans="1:55" x14ac:dyDescent="0.25">
      <c r="A202" s="15">
        <f t="shared" si="47"/>
        <v>0</v>
      </c>
      <c r="B202" s="20">
        <v>43334</v>
      </c>
      <c r="D202" s="12"/>
      <c r="E202" s="12"/>
      <c r="I202" s="12"/>
      <c r="J202" s="12"/>
      <c r="N202" s="12"/>
      <c r="O202" s="12"/>
      <c r="S202" s="12"/>
      <c r="T202" s="12"/>
      <c r="X202" s="12"/>
      <c r="Y202" s="12"/>
      <c r="AC202" s="12"/>
      <c r="AD202" s="12"/>
      <c r="AH202" s="12"/>
      <c r="AI202" s="12"/>
      <c r="AM202" s="12"/>
      <c r="AN202" s="12"/>
      <c r="AR202" s="12"/>
      <c r="AS202" s="12"/>
      <c r="AW202" s="12"/>
      <c r="AX202" s="12"/>
      <c r="BB202" s="12"/>
      <c r="BC202" s="12"/>
    </row>
    <row r="203" spans="1:55" x14ac:dyDescent="0.25">
      <c r="A203" s="15">
        <f t="shared" si="47"/>
        <v>0</v>
      </c>
      <c r="B203" s="20">
        <v>43335</v>
      </c>
      <c r="D203" s="12"/>
      <c r="E203" s="12"/>
      <c r="I203" s="12"/>
      <c r="J203" s="12"/>
      <c r="N203" s="12"/>
      <c r="O203" s="12"/>
      <c r="S203" s="12"/>
      <c r="T203" s="12"/>
      <c r="X203" s="12"/>
      <c r="Y203" s="12"/>
      <c r="AC203" s="12"/>
      <c r="AD203" s="12"/>
      <c r="AH203" s="12"/>
      <c r="AI203" s="12"/>
      <c r="AM203" s="12"/>
      <c r="AN203" s="12"/>
      <c r="AR203" s="12"/>
      <c r="AS203" s="12"/>
      <c r="AW203" s="12"/>
      <c r="AX203" s="12"/>
      <c r="BB203" s="12"/>
      <c r="BC203" s="12"/>
    </row>
    <row r="204" spans="1:55" x14ac:dyDescent="0.25">
      <c r="A204" s="15">
        <f t="shared" si="47"/>
        <v>0</v>
      </c>
      <c r="B204" s="20">
        <v>43336</v>
      </c>
      <c r="D204" s="12"/>
      <c r="E204" s="12"/>
      <c r="I204" s="12"/>
      <c r="J204" s="12"/>
      <c r="N204" s="12"/>
      <c r="O204" s="12"/>
      <c r="S204" s="12"/>
      <c r="T204" s="12"/>
      <c r="X204" s="12"/>
      <c r="Y204" s="12"/>
      <c r="AC204" s="12"/>
      <c r="AD204" s="12"/>
      <c r="AH204" s="12"/>
      <c r="AI204" s="12"/>
      <c r="AM204" s="12"/>
      <c r="AN204" s="12"/>
      <c r="AR204" s="12"/>
      <c r="AS204" s="12"/>
      <c r="AW204" s="12"/>
      <c r="AX204" s="12"/>
      <c r="BB204" s="12"/>
      <c r="BC204" s="12"/>
    </row>
    <row r="205" spans="1:55" x14ac:dyDescent="0.25">
      <c r="A205" s="15">
        <f t="shared" si="47"/>
        <v>0</v>
      </c>
      <c r="B205" s="20">
        <v>43337</v>
      </c>
      <c r="D205" s="12"/>
      <c r="E205" s="12"/>
      <c r="I205" s="12"/>
      <c r="J205" s="12"/>
      <c r="N205" s="12"/>
      <c r="O205" s="12"/>
      <c r="S205" s="12"/>
      <c r="T205" s="12"/>
      <c r="X205" s="12"/>
      <c r="Y205" s="12"/>
      <c r="AC205" s="12"/>
      <c r="AD205" s="12"/>
      <c r="AH205" s="12"/>
      <c r="AI205" s="12"/>
      <c r="AM205" s="12"/>
      <c r="AN205" s="12"/>
      <c r="AR205" s="12"/>
      <c r="AS205" s="12"/>
      <c r="AW205" s="12"/>
      <c r="AX205" s="12"/>
      <c r="BB205" s="12"/>
      <c r="BC205" s="12"/>
    </row>
    <row r="206" spans="1:55" x14ac:dyDescent="0.25">
      <c r="A206" s="15">
        <f t="shared" si="47"/>
        <v>0</v>
      </c>
      <c r="B206" s="20">
        <v>43338</v>
      </c>
      <c r="D206" s="12"/>
      <c r="E206" s="12"/>
      <c r="I206" s="12"/>
      <c r="J206" s="12"/>
      <c r="N206" s="12"/>
      <c r="O206" s="12"/>
      <c r="S206" s="12"/>
      <c r="T206" s="12"/>
      <c r="X206" s="12"/>
      <c r="Y206" s="12"/>
      <c r="AC206" s="12"/>
      <c r="AD206" s="12"/>
      <c r="AH206" s="12"/>
      <c r="AI206" s="12"/>
      <c r="AM206" s="12"/>
      <c r="AN206" s="12"/>
      <c r="AR206" s="12"/>
      <c r="AS206" s="12"/>
      <c r="AW206" s="12"/>
      <c r="AX206" s="12"/>
      <c r="BB206" s="12"/>
      <c r="BC206" s="12"/>
    </row>
    <row r="207" spans="1:55" x14ac:dyDescent="0.25">
      <c r="A207" s="15">
        <f t="shared" si="47"/>
        <v>0</v>
      </c>
      <c r="B207" s="20">
        <v>43339</v>
      </c>
      <c r="D207" s="12"/>
      <c r="E207" s="12"/>
      <c r="I207" s="12"/>
      <c r="J207" s="12"/>
      <c r="N207" s="12"/>
      <c r="O207" s="12"/>
      <c r="S207" s="12"/>
      <c r="T207" s="12"/>
      <c r="X207" s="12"/>
      <c r="Y207" s="12"/>
      <c r="AC207" s="12"/>
      <c r="AD207" s="12"/>
      <c r="AH207" s="12"/>
      <c r="AI207" s="12"/>
      <c r="AM207" s="12"/>
      <c r="AN207" s="12"/>
      <c r="AR207" s="12"/>
      <c r="AS207" s="12"/>
      <c r="AW207" s="12"/>
      <c r="AX207" s="12"/>
      <c r="BB207" s="12"/>
      <c r="BC207" s="12"/>
    </row>
    <row r="208" spans="1:55" x14ac:dyDescent="0.25">
      <c r="A208" s="15">
        <f t="shared" si="47"/>
        <v>0</v>
      </c>
      <c r="B208" s="20">
        <v>43340</v>
      </c>
      <c r="D208" s="12"/>
      <c r="E208" s="12"/>
      <c r="I208" s="12"/>
      <c r="J208" s="12"/>
      <c r="N208" s="12"/>
      <c r="O208" s="12"/>
      <c r="S208" s="12"/>
      <c r="T208" s="12"/>
      <c r="X208" s="12"/>
      <c r="Y208" s="12"/>
      <c r="AC208" s="12"/>
      <c r="AD208" s="12"/>
      <c r="AH208" s="12"/>
      <c r="AI208" s="12"/>
      <c r="AM208" s="12"/>
      <c r="AN208" s="12"/>
      <c r="AR208" s="12"/>
      <c r="AS208" s="12"/>
      <c r="AW208" s="12"/>
      <c r="AX208" s="12"/>
      <c r="BB208" s="12"/>
      <c r="BC208" s="12"/>
    </row>
    <row r="209" spans="1:55" x14ac:dyDescent="0.25">
      <c r="A209" s="15">
        <f t="shared" si="47"/>
        <v>0</v>
      </c>
      <c r="B209" s="20">
        <v>43341</v>
      </c>
      <c r="D209" s="12"/>
      <c r="E209" s="12"/>
      <c r="I209" s="12"/>
      <c r="J209" s="12"/>
      <c r="N209" s="12"/>
      <c r="O209" s="12"/>
      <c r="S209" s="12"/>
      <c r="T209" s="12"/>
      <c r="X209" s="12"/>
      <c r="Y209" s="12"/>
      <c r="AC209" s="12"/>
      <c r="AD209" s="12"/>
      <c r="AH209" s="12"/>
      <c r="AI209" s="12"/>
      <c r="AM209" s="12"/>
      <c r="AN209" s="12"/>
      <c r="AR209" s="12"/>
      <c r="AS209" s="12"/>
      <c r="AW209" s="12"/>
      <c r="AX209" s="12"/>
      <c r="BB209" s="12"/>
      <c r="BC209" s="12"/>
    </row>
    <row r="210" spans="1:55" x14ac:dyDescent="0.25">
      <c r="A210" s="15">
        <f t="shared" si="47"/>
        <v>0</v>
      </c>
      <c r="B210" s="20">
        <v>43342</v>
      </c>
      <c r="D210" s="12"/>
      <c r="E210" s="12"/>
      <c r="I210" s="12"/>
      <c r="J210" s="12"/>
      <c r="N210" s="12"/>
      <c r="O210" s="12"/>
      <c r="S210" s="12"/>
      <c r="T210" s="12"/>
      <c r="X210" s="12"/>
      <c r="Y210" s="12"/>
      <c r="AC210" s="12"/>
      <c r="AD210" s="12"/>
      <c r="AH210" s="12"/>
      <c r="AI210" s="12"/>
      <c r="AM210" s="12"/>
      <c r="AN210" s="12"/>
      <c r="AR210" s="12"/>
      <c r="AS210" s="12"/>
      <c r="AW210" s="12"/>
      <c r="AX210" s="12"/>
      <c r="BB210" s="12"/>
      <c r="BC210" s="12"/>
    </row>
    <row r="211" spans="1:55" x14ac:dyDescent="0.25">
      <c r="A211" s="15">
        <f t="shared" si="47"/>
        <v>0</v>
      </c>
      <c r="B211" s="20">
        <v>43343</v>
      </c>
      <c r="D211" s="12"/>
      <c r="E211" s="12"/>
      <c r="I211" s="12"/>
      <c r="J211" s="12"/>
      <c r="N211" s="12"/>
      <c r="O211" s="12"/>
      <c r="S211" s="12"/>
      <c r="T211" s="12"/>
      <c r="X211" s="12"/>
      <c r="Y211" s="12"/>
      <c r="AC211" s="12"/>
      <c r="AD211" s="12"/>
      <c r="AH211" s="12"/>
      <c r="AI211" s="12"/>
      <c r="AM211" s="12"/>
      <c r="AN211" s="12"/>
      <c r="AR211" s="12"/>
      <c r="AS211" s="12"/>
      <c r="AW211" s="12"/>
      <c r="AX211" s="12"/>
      <c r="BB211" s="12"/>
      <c r="BC211" s="12"/>
    </row>
    <row r="212" spans="1:55" x14ac:dyDescent="0.25">
      <c r="A212" s="15">
        <f t="shared" si="47"/>
        <v>0</v>
      </c>
      <c r="B212" s="20">
        <v>43344</v>
      </c>
      <c r="D212" s="12"/>
      <c r="E212" s="12"/>
      <c r="I212" s="12"/>
      <c r="J212" s="12"/>
      <c r="N212" s="12"/>
      <c r="O212" s="12"/>
      <c r="S212" s="12"/>
      <c r="T212" s="12"/>
      <c r="X212" s="12"/>
      <c r="Y212" s="12"/>
      <c r="AC212" s="12"/>
      <c r="AD212" s="12"/>
      <c r="AH212" s="12"/>
      <c r="AI212" s="12"/>
      <c r="AM212" s="12"/>
      <c r="AN212" s="12"/>
      <c r="AR212" s="12"/>
      <c r="AS212" s="12"/>
      <c r="AW212" s="12"/>
      <c r="AX212" s="12"/>
      <c r="BB212" s="12"/>
      <c r="BC212" s="12"/>
    </row>
    <row r="213" spans="1:55" x14ac:dyDescent="0.25">
      <c r="A213" s="15">
        <f t="shared" si="47"/>
        <v>0</v>
      </c>
      <c r="B213" s="20">
        <v>43345</v>
      </c>
      <c r="D213" s="12"/>
      <c r="E213" s="12"/>
      <c r="I213" s="12"/>
      <c r="J213" s="12"/>
      <c r="N213" s="12"/>
      <c r="O213" s="12"/>
      <c r="S213" s="12"/>
      <c r="T213" s="12"/>
      <c r="X213" s="12"/>
      <c r="Y213" s="12"/>
      <c r="AC213" s="12"/>
      <c r="AD213" s="12"/>
      <c r="AH213" s="12"/>
      <c r="AI213" s="12"/>
      <c r="AM213" s="12"/>
      <c r="AN213" s="12"/>
      <c r="AR213" s="12"/>
      <c r="AS213" s="12"/>
      <c r="AW213" s="12"/>
      <c r="AX213" s="12"/>
      <c r="BB213" s="12"/>
      <c r="BC213" s="12"/>
    </row>
    <row r="214" spans="1:55" x14ac:dyDescent="0.25">
      <c r="A214" s="15">
        <f t="shared" si="47"/>
        <v>0</v>
      </c>
      <c r="B214" s="20">
        <v>43346</v>
      </c>
      <c r="D214" s="12"/>
      <c r="E214" s="12"/>
      <c r="I214" s="12"/>
      <c r="J214" s="12"/>
      <c r="N214" s="12"/>
      <c r="O214" s="12"/>
      <c r="S214" s="12"/>
      <c r="T214" s="12"/>
      <c r="X214" s="12"/>
      <c r="Y214" s="12"/>
      <c r="AC214" s="12"/>
      <c r="AD214" s="12"/>
      <c r="AH214" s="12"/>
      <c r="AI214" s="12"/>
      <c r="AM214" s="12"/>
      <c r="AN214" s="12"/>
      <c r="AR214" s="12"/>
      <c r="AS214" s="12"/>
      <c r="AW214" s="12"/>
      <c r="AX214" s="12"/>
      <c r="BB214" s="12"/>
      <c r="BC214" s="12"/>
    </row>
    <row r="215" spans="1:55" x14ac:dyDescent="0.25">
      <c r="A215" s="15">
        <f t="shared" si="47"/>
        <v>0</v>
      </c>
      <c r="B215" s="20">
        <v>43347</v>
      </c>
      <c r="D215" s="12"/>
      <c r="E215" s="12"/>
      <c r="I215" s="12"/>
      <c r="J215" s="12"/>
      <c r="N215" s="12"/>
      <c r="O215" s="12"/>
      <c r="S215" s="12"/>
      <c r="T215" s="12"/>
      <c r="X215" s="12"/>
      <c r="Y215" s="12"/>
      <c r="AC215" s="12"/>
      <c r="AD215" s="12"/>
      <c r="AH215" s="12"/>
      <c r="AI215" s="12"/>
      <c r="AM215" s="12"/>
      <c r="AN215" s="12"/>
      <c r="AR215" s="12"/>
      <c r="AS215" s="12"/>
      <c r="AW215" s="12"/>
      <c r="AX215" s="12"/>
      <c r="BB215" s="12"/>
      <c r="BC215" s="12"/>
    </row>
    <row r="216" spans="1:55" x14ac:dyDescent="0.25">
      <c r="A216" s="15">
        <f t="shared" si="47"/>
        <v>0</v>
      </c>
      <c r="B216" s="20">
        <v>43348</v>
      </c>
      <c r="D216" s="12"/>
      <c r="E216" s="12"/>
      <c r="I216" s="12"/>
      <c r="J216" s="12"/>
      <c r="N216" s="12"/>
      <c r="O216" s="12"/>
      <c r="S216" s="12"/>
      <c r="T216" s="12"/>
      <c r="X216" s="12"/>
      <c r="Y216" s="12"/>
      <c r="AC216" s="12"/>
      <c r="AD216" s="12"/>
      <c r="AH216" s="12"/>
      <c r="AI216" s="12"/>
      <c r="AM216" s="12"/>
      <c r="AN216" s="12"/>
      <c r="AR216" s="12"/>
      <c r="AS216" s="12"/>
      <c r="AW216" s="12"/>
      <c r="AX216" s="12"/>
      <c r="BB216" s="12"/>
      <c r="BC216" s="12"/>
    </row>
    <row r="217" spans="1:55" x14ac:dyDescent="0.25">
      <c r="A217" s="15">
        <f t="shared" si="47"/>
        <v>0</v>
      </c>
      <c r="B217" s="20">
        <v>43349</v>
      </c>
      <c r="D217" s="12"/>
      <c r="E217" s="12"/>
      <c r="I217" s="12"/>
      <c r="J217" s="12"/>
      <c r="N217" s="12"/>
      <c r="O217" s="12"/>
      <c r="S217" s="12"/>
      <c r="T217" s="12"/>
      <c r="X217" s="12"/>
      <c r="Y217" s="12"/>
      <c r="AC217" s="12"/>
      <c r="AD217" s="12"/>
      <c r="AH217" s="12"/>
      <c r="AI217" s="12"/>
      <c r="AM217" s="12"/>
      <c r="AN217" s="12"/>
      <c r="AR217" s="12"/>
      <c r="AS217" s="12"/>
      <c r="AW217" s="12"/>
      <c r="AX217" s="12"/>
      <c r="BB217" s="12"/>
      <c r="BC217" s="12"/>
    </row>
    <row r="218" spans="1:55" x14ac:dyDescent="0.25">
      <c r="A218" s="15">
        <f t="shared" si="47"/>
        <v>0</v>
      </c>
      <c r="B218" s="20">
        <v>43350</v>
      </c>
      <c r="D218" s="12"/>
      <c r="E218" s="12"/>
      <c r="I218" s="12"/>
      <c r="J218" s="12"/>
      <c r="N218" s="12"/>
      <c r="O218" s="12"/>
      <c r="S218" s="12"/>
      <c r="T218" s="12"/>
      <c r="X218" s="12"/>
      <c r="Y218" s="12"/>
      <c r="AC218" s="12"/>
      <c r="AD218" s="12"/>
      <c r="AH218" s="12"/>
      <c r="AI218" s="12"/>
      <c r="AM218" s="12"/>
      <c r="AN218" s="12"/>
      <c r="AR218" s="12"/>
      <c r="AS218" s="12"/>
      <c r="AW218" s="12"/>
      <c r="AX218" s="12"/>
      <c r="BB218" s="12"/>
      <c r="BC218" s="12"/>
    </row>
    <row r="219" spans="1:55" x14ac:dyDescent="0.25">
      <c r="A219" s="15">
        <f t="shared" si="47"/>
        <v>0</v>
      </c>
      <c r="B219" s="20">
        <v>43351</v>
      </c>
      <c r="D219" s="12"/>
      <c r="E219" s="12"/>
      <c r="I219" s="12"/>
      <c r="J219" s="12"/>
      <c r="N219" s="12"/>
      <c r="O219" s="12"/>
      <c r="S219" s="12"/>
      <c r="T219" s="12"/>
      <c r="X219" s="12"/>
      <c r="Y219" s="12"/>
      <c r="AC219" s="12"/>
      <c r="AD219" s="12"/>
      <c r="AH219" s="12"/>
      <c r="AI219" s="12"/>
      <c r="AM219" s="12"/>
      <c r="AN219" s="12"/>
      <c r="AR219" s="12"/>
      <c r="AS219" s="12"/>
      <c r="AW219" s="12"/>
      <c r="AX219" s="12"/>
      <c r="BB219" s="12"/>
      <c r="BC219" s="12"/>
    </row>
    <row r="220" spans="1:55" x14ac:dyDescent="0.25">
      <c r="A220" s="15">
        <f t="shared" si="47"/>
        <v>0</v>
      </c>
      <c r="B220" s="20">
        <v>43352</v>
      </c>
      <c r="D220" s="12"/>
      <c r="E220" s="12"/>
      <c r="I220" s="12"/>
      <c r="J220" s="12"/>
      <c r="N220" s="12"/>
      <c r="O220" s="12"/>
      <c r="S220" s="12"/>
      <c r="T220" s="12"/>
      <c r="X220" s="12"/>
      <c r="Y220" s="12"/>
      <c r="AC220" s="12"/>
      <c r="AD220" s="12"/>
      <c r="AH220" s="12"/>
      <c r="AI220" s="12"/>
      <c r="AM220" s="12"/>
      <c r="AN220" s="12"/>
      <c r="AR220" s="12"/>
      <c r="AS220" s="12"/>
      <c r="AW220" s="12"/>
      <c r="AX220" s="12"/>
      <c r="BB220" s="12"/>
      <c r="BC220" s="12"/>
    </row>
    <row r="221" spans="1:55" x14ac:dyDescent="0.25">
      <c r="A221" s="15">
        <f t="shared" si="47"/>
        <v>0</v>
      </c>
      <c r="B221" s="20">
        <v>43353</v>
      </c>
      <c r="D221" s="12"/>
      <c r="E221" s="12"/>
      <c r="I221" s="12"/>
      <c r="J221" s="12"/>
      <c r="N221" s="12"/>
      <c r="O221" s="12"/>
      <c r="S221" s="12"/>
      <c r="T221" s="12"/>
      <c r="X221" s="12"/>
      <c r="Y221" s="12"/>
      <c r="AC221" s="12"/>
      <c r="AD221" s="12"/>
      <c r="AH221" s="12"/>
      <c r="AI221" s="12"/>
      <c r="AM221" s="12"/>
      <c r="AN221" s="12"/>
      <c r="AR221" s="12"/>
      <c r="AS221" s="12"/>
      <c r="AW221" s="12"/>
      <c r="AX221" s="12"/>
      <c r="BB221" s="12"/>
      <c r="BC221" s="12"/>
    </row>
    <row r="222" spans="1:55" x14ac:dyDescent="0.25">
      <c r="A222" s="15">
        <f t="shared" si="47"/>
        <v>0</v>
      </c>
      <c r="B222" s="20">
        <v>43354</v>
      </c>
      <c r="D222" s="12"/>
      <c r="E222" s="12"/>
      <c r="I222" s="12"/>
      <c r="J222" s="12"/>
      <c r="N222" s="12"/>
      <c r="O222" s="12"/>
      <c r="S222" s="12"/>
      <c r="T222" s="12"/>
      <c r="X222" s="12"/>
      <c r="Y222" s="12"/>
      <c r="AC222" s="12"/>
      <c r="AD222" s="12"/>
      <c r="AH222" s="12"/>
      <c r="AI222" s="12"/>
      <c r="AM222" s="12"/>
      <c r="AN222" s="12"/>
      <c r="AR222" s="12"/>
      <c r="AS222" s="12"/>
      <c r="AW222" s="12"/>
      <c r="AX222" s="12"/>
      <c r="BB222" s="12"/>
      <c r="BC222" s="12"/>
    </row>
    <row r="223" spans="1:55" x14ac:dyDescent="0.25">
      <c r="A223" s="15">
        <f t="shared" si="47"/>
        <v>0</v>
      </c>
      <c r="B223" s="20">
        <v>43355</v>
      </c>
      <c r="D223" s="12"/>
      <c r="E223" s="12"/>
      <c r="I223" s="12"/>
      <c r="J223" s="12"/>
      <c r="N223" s="12"/>
      <c r="O223" s="12"/>
      <c r="S223" s="12"/>
      <c r="T223" s="12"/>
      <c r="X223" s="12"/>
      <c r="Y223" s="12"/>
      <c r="AC223" s="12"/>
      <c r="AD223" s="12"/>
      <c r="AH223" s="12"/>
      <c r="AI223" s="12"/>
      <c r="AM223" s="12"/>
      <c r="AN223" s="12"/>
      <c r="AR223" s="12"/>
      <c r="AS223" s="12"/>
      <c r="AW223" s="12"/>
      <c r="AX223" s="12"/>
      <c r="BB223" s="12"/>
      <c r="BC223" s="12"/>
    </row>
    <row r="224" spans="1:55" x14ac:dyDescent="0.25">
      <c r="A224" s="15">
        <f t="shared" si="47"/>
        <v>0</v>
      </c>
      <c r="B224" s="20">
        <v>43356</v>
      </c>
      <c r="D224" s="12"/>
      <c r="E224" s="12"/>
      <c r="I224" s="12"/>
      <c r="J224" s="12"/>
      <c r="N224" s="12"/>
      <c r="O224" s="12"/>
      <c r="S224" s="12"/>
      <c r="T224" s="12"/>
      <c r="X224" s="12"/>
      <c r="Y224" s="12"/>
      <c r="AC224" s="12"/>
      <c r="AD224" s="12"/>
      <c r="AH224" s="12"/>
      <c r="AI224" s="12"/>
      <c r="AM224" s="12"/>
      <c r="AN224" s="12"/>
      <c r="AR224" s="12"/>
      <c r="AS224" s="12"/>
      <c r="AW224" s="12"/>
      <c r="AX224" s="12"/>
      <c r="BB224" s="12"/>
      <c r="BC224" s="12"/>
    </row>
    <row r="225" spans="1:55" x14ac:dyDescent="0.25">
      <c r="A225" s="15">
        <f t="shared" si="47"/>
        <v>0</v>
      </c>
      <c r="B225" s="20">
        <v>43357</v>
      </c>
      <c r="D225" s="12"/>
      <c r="E225" s="12"/>
      <c r="I225" s="12"/>
      <c r="J225" s="12"/>
      <c r="N225" s="12"/>
      <c r="O225" s="12"/>
      <c r="S225" s="12"/>
      <c r="T225" s="12"/>
      <c r="X225" s="12"/>
      <c r="Y225" s="12"/>
      <c r="AC225" s="12"/>
      <c r="AD225" s="12"/>
      <c r="AH225" s="12"/>
      <c r="AI225" s="12"/>
      <c r="AM225" s="12"/>
      <c r="AN225" s="12"/>
      <c r="AR225" s="12"/>
      <c r="AS225" s="12"/>
      <c r="AW225" s="12"/>
      <c r="AX225" s="12"/>
      <c r="BB225" s="12"/>
      <c r="BC225" s="12"/>
    </row>
    <row r="226" spans="1:55" x14ac:dyDescent="0.25">
      <c r="A226" s="15">
        <f t="shared" si="47"/>
        <v>0</v>
      </c>
      <c r="B226" s="20">
        <v>43358</v>
      </c>
      <c r="D226" s="12"/>
      <c r="E226" s="12"/>
      <c r="I226" s="12"/>
      <c r="J226" s="12"/>
      <c r="N226" s="12"/>
      <c r="O226" s="12"/>
      <c r="S226" s="12"/>
      <c r="T226" s="12"/>
      <c r="X226" s="12"/>
      <c r="Y226" s="12"/>
      <c r="AC226" s="12"/>
      <c r="AD226" s="12"/>
      <c r="AH226" s="12"/>
      <c r="AI226" s="12"/>
      <c r="AM226" s="12"/>
      <c r="AN226" s="12"/>
      <c r="AR226" s="12"/>
      <c r="AS226" s="12"/>
      <c r="AW226" s="12"/>
      <c r="AX226" s="12"/>
      <c r="BB226" s="12"/>
      <c r="BC226" s="12"/>
    </row>
    <row r="227" spans="1:55" x14ac:dyDescent="0.25">
      <c r="A227" s="15">
        <f t="shared" si="47"/>
        <v>0</v>
      </c>
      <c r="B227" s="20">
        <v>43359</v>
      </c>
      <c r="D227" s="12"/>
      <c r="E227" s="12"/>
      <c r="I227" s="12"/>
      <c r="J227" s="12"/>
      <c r="N227" s="12"/>
      <c r="O227" s="12"/>
      <c r="S227" s="12"/>
      <c r="T227" s="12"/>
      <c r="X227" s="12"/>
      <c r="Y227" s="12"/>
      <c r="AC227" s="12"/>
      <c r="AD227" s="12"/>
      <c r="AH227" s="12"/>
      <c r="AI227" s="12"/>
      <c r="AM227" s="12"/>
      <c r="AN227" s="12"/>
      <c r="AR227" s="12"/>
      <c r="AS227" s="12"/>
      <c r="AW227" s="12"/>
      <c r="AX227" s="12"/>
      <c r="BB227" s="12"/>
      <c r="BC227" s="12"/>
    </row>
    <row r="228" spans="1:55" x14ac:dyDescent="0.25">
      <c r="A228" s="15">
        <f t="shared" si="47"/>
        <v>0</v>
      </c>
      <c r="B228" s="20">
        <v>43360</v>
      </c>
      <c r="D228" s="12"/>
      <c r="E228" s="12"/>
      <c r="I228" s="12"/>
      <c r="J228" s="12"/>
      <c r="N228" s="12"/>
      <c r="O228" s="12"/>
      <c r="S228" s="12"/>
      <c r="T228" s="12"/>
      <c r="X228" s="12"/>
      <c r="Y228" s="12"/>
      <c r="AC228" s="12"/>
      <c r="AD228" s="12"/>
      <c r="AH228" s="12"/>
      <c r="AI228" s="12"/>
      <c r="AM228" s="12"/>
      <c r="AN228" s="12"/>
      <c r="AR228" s="12"/>
      <c r="AS228" s="12"/>
      <c r="AW228" s="12"/>
      <c r="AX228" s="12"/>
      <c r="BB228" s="12"/>
      <c r="BC228" s="12"/>
    </row>
    <row r="229" spans="1:55" x14ac:dyDescent="0.25">
      <c r="A229" s="15">
        <f t="shared" si="47"/>
        <v>0</v>
      </c>
      <c r="B229" s="20">
        <v>43361</v>
      </c>
      <c r="D229" s="12"/>
      <c r="E229" s="12"/>
      <c r="I229" s="12"/>
      <c r="J229" s="12"/>
      <c r="N229" s="12"/>
      <c r="O229" s="12"/>
      <c r="S229" s="12"/>
      <c r="T229" s="12"/>
      <c r="X229" s="12"/>
      <c r="Y229" s="12"/>
      <c r="AC229" s="12"/>
      <c r="AD229" s="12"/>
      <c r="AH229" s="12"/>
      <c r="AI229" s="12"/>
      <c r="AM229" s="12"/>
      <c r="AN229" s="12"/>
      <c r="AR229" s="12"/>
      <c r="AS229" s="12"/>
      <c r="AW229" s="12"/>
      <c r="AX229" s="12"/>
      <c r="BB229" s="12"/>
      <c r="BC229" s="12"/>
    </row>
    <row r="230" spans="1:55" x14ac:dyDescent="0.25">
      <c r="A230" s="15">
        <f t="shared" si="47"/>
        <v>0</v>
      </c>
      <c r="B230" s="20">
        <v>43362</v>
      </c>
      <c r="D230" s="12"/>
      <c r="E230" s="12"/>
      <c r="I230" s="12"/>
      <c r="J230" s="12"/>
      <c r="N230" s="12"/>
      <c r="O230" s="12"/>
      <c r="S230" s="12"/>
      <c r="T230" s="12"/>
      <c r="X230" s="12"/>
      <c r="Y230" s="12"/>
      <c r="AC230" s="12"/>
      <c r="AD230" s="12"/>
      <c r="AH230" s="12"/>
      <c r="AI230" s="12"/>
      <c r="AM230" s="12"/>
      <c r="AN230" s="12"/>
      <c r="AR230" s="12"/>
      <c r="AS230" s="12"/>
      <c r="AW230" s="12"/>
      <c r="AX230" s="12"/>
      <c r="BB230" s="12"/>
      <c r="BC230" s="12"/>
    </row>
    <row r="231" spans="1:55" x14ac:dyDescent="0.25">
      <c r="A231" s="15">
        <f t="shared" si="47"/>
        <v>0</v>
      </c>
      <c r="B231" s="20">
        <v>43363</v>
      </c>
      <c r="D231" s="12"/>
      <c r="E231" s="12"/>
      <c r="I231" s="12"/>
      <c r="J231" s="12"/>
      <c r="N231" s="12"/>
      <c r="O231" s="12"/>
      <c r="S231" s="12"/>
      <c r="T231" s="12"/>
      <c r="X231" s="12"/>
      <c r="Y231" s="12"/>
      <c r="AC231" s="12"/>
      <c r="AD231" s="12"/>
      <c r="AH231" s="12"/>
      <c r="AI231" s="12"/>
      <c r="AM231" s="12"/>
      <c r="AN231" s="12"/>
      <c r="AR231" s="12"/>
      <c r="AS231" s="12"/>
      <c r="AW231" s="12"/>
      <c r="AX231" s="12"/>
      <c r="BB231" s="12"/>
      <c r="BC231" s="12"/>
    </row>
    <row r="232" spans="1:55" x14ac:dyDescent="0.25">
      <c r="A232" s="15">
        <f t="shared" si="47"/>
        <v>0</v>
      </c>
      <c r="B232" s="20">
        <v>43364</v>
      </c>
      <c r="D232" s="12"/>
      <c r="E232" s="12"/>
      <c r="I232" s="12"/>
      <c r="J232" s="12"/>
      <c r="N232" s="12"/>
      <c r="O232" s="12"/>
      <c r="S232" s="12"/>
      <c r="T232" s="12"/>
      <c r="X232" s="12"/>
      <c r="Y232" s="12"/>
      <c r="AC232" s="12"/>
      <c r="AD232" s="12"/>
      <c r="AH232" s="12"/>
      <c r="AI232" s="12"/>
      <c r="AM232" s="12"/>
      <c r="AN232" s="12"/>
      <c r="AR232" s="12"/>
      <c r="AS232" s="12"/>
      <c r="AW232" s="12"/>
      <c r="AX232" s="12"/>
      <c r="BB232" s="12"/>
      <c r="BC232" s="12"/>
    </row>
    <row r="233" spans="1:55" x14ac:dyDescent="0.25">
      <c r="A233" s="15">
        <f t="shared" si="47"/>
        <v>0</v>
      </c>
      <c r="B233" s="20">
        <v>43365</v>
      </c>
      <c r="D233" s="12"/>
      <c r="E233" s="12"/>
      <c r="I233" s="12"/>
      <c r="J233" s="12"/>
      <c r="N233" s="12"/>
      <c r="O233" s="12"/>
      <c r="S233" s="12"/>
      <c r="T233" s="12"/>
      <c r="X233" s="12"/>
      <c r="Y233" s="12"/>
      <c r="AC233" s="12"/>
      <c r="AD233" s="12"/>
      <c r="AH233" s="12"/>
      <c r="AI233" s="12"/>
      <c r="AM233" s="12"/>
      <c r="AN233" s="12"/>
      <c r="AR233" s="12"/>
      <c r="AS233" s="12"/>
      <c r="AW233" s="12"/>
      <c r="AX233" s="12"/>
      <c r="BB233" s="12"/>
      <c r="BC233" s="12"/>
    </row>
    <row r="234" spans="1:55" x14ac:dyDescent="0.25">
      <c r="A234" s="15">
        <f t="shared" si="47"/>
        <v>0</v>
      </c>
      <c r="B234" s="20">
        <v>43366</v>
      </c>
      <c r="D234" s="12"/>
      <c r="E234" s="12"/>
      <c r="I234" s="12"/>
      <c r="J234" s="12"/>
      <c r="N234" s="12"/>
      <c r="O234" s="12"/>
      <c r="S234" s="12"/>
      <c r="T234" s="12"/>
      <c r="X234" s="12"/>
      <c r="Y234" s="12"/>
      <c r="AC234" s="12"/>
      <c r="AD234" s="12"/>
      <c r="AH234" s="12"/>
      <c r="AI234" s="12"/>
      <c r="AM234" s="12"/>
      <c r="AN234" s="12"/>
      <c r="AR234" s="12"/>
      <c r="AS234" s="12"/>
      <c r="AW234" s="12"/>
      <c r="AX234" s="12"/>
      <c r="BB234" s="12"/>
      <c r="BC234" s="12"/>
    </row>
    <row r="235" spans="1:55" x14ac:dyDescent="0.25">
      <c r="A235" s="15">
        <f t="shared" si="47"/>
        <v>0</v>
      </c>
      <c r="B235" s="20">
        <v>43367</v>
      </c>
      <c r="D235" s="12"/>
      <c r="E235" s="12"/>
      <c r="I235" s="12"/>
      <c r="J235" s="12"/>
      <c r="N235" s="12"/>
      <c r="O235" s="12"/>
      <c r="S235" s="12"/>
      <c r="T235" s="12"/>
      <c r="X235" s="12"/>
      <c r="Y235" s="12"/>
      <c r="AC235" s="12"/>
      <c r="AD235" s="12"/>
      <c r="AH235" s="12"/>
      <c r="AI235" s="12"/>
      <c r="AM235" s="12"/>
      <c r="AN235" s="12"/>
      <c r="AR235" s="12"/>
      <c r="AS235" s="12"/>
      <c r="AW235" s="12"/>
      <c r="AX235" s="12"/>
      <c r="BB235" s="12"/>
      <c r="BC235" s="12"/>
    </row>
    <row r="236" spans="1:55" x14ac:dyDescent="0.25">
      <c r="A236" s="15">
        <f t="shared" si="47"/>
        <v>0</v>
      </c>
      <c r="B236" s="20">
        <v>43368</v>
      </c>
      <c r="D236" s="12"/>
      <c r="E236" s="12"/>
      <c r="I236" s="12"/>
      <c r="J236" s="12"/>
      <c r="N236" s="12"/>
      <c r="O236" s="12"/>
      <c r="S236" s="12"/>
      <c r="T236" s="12"/>
      <c r="X236" s="12"/>
      <c r="Y236" s="12"/>
      <c r="AC236" s="12"/>
      <c r="AD236" s="12"/>
      <c r="AH236" s="12"/>
      <c r="AI236" s="12"/>
      <c r="AM236" s="12"/>
      <c r="AN236" s="12"/>
      <c r="AR236" s="12"/>
      <c r="AS236" s="12"/>
      <c r="AW236" s="12"/>
      <c r="AX236" s="12"/>
      <c r="BB236" s="12"/>
      <c r="BC236" s="12"/>
    </row>
    <row r="237" spans="1:55" x14ac:dyDescent="0.25">
      <c r="A237" s="15">
        <f t="shared" si="47"/>
        <v>0</v>
      </c>
      <c r="B237" s="20">
        <v>43369</v>
      </c>
      <c r="D237" s="12"/>
      <c r="E237" s="12"/>
      <c r="I237" s="12"/>
      <c r="J237" s="12"/>
      <c r="N237" s="12"/>
      <c r="O237" s="12"/>
      <c r="S237" s="12"/>
      <c r="T237" s="12"/>
      <c r="X237" s="12"/>
      <c r="Y237" s="12"/>
      <c r="AC237" s="12"/>
      <c r="AD237" s="12"/>
      <c r="AH237" s="12"/>
      <c r="AI237" s="12"/>
      <c r="AM237" s="12"/>
      <c r="AN237" s="12"/>
      <c r="AR237" s="12"/>
      <c r="AS237" s="12"/>
      <c r="AW237" s="12"/>
      <c r="AX237" s="12"/>
      <c r="BB237" s="12"/>
      <c r="BC237" s="12"/>
    </row>
    <row r="238" spans="1:55" x14ac:dyDescent="0.25">
      <c r="A238" s="15">
        <f t="shared" si="47"/>
        <v>0</v>
      </c>
      <c r="B238" s="20">
        <v>43370</v>
      </c>
      <c r="D238" s="12"/>
      <c r="E238" s="12"/>
      <c r="I238" s="12"/>
      <c r="J238" s="12"/>
      <c r="N238" s="12"/>
      <c r="O238" s="12"/>
      <c r="S238" s="12"/>
      <c r="T238" s="12"/>
      <c r="X238" s="12"/>
      <c r="Y238" s="12"/>
      <c r="AC238" s="12"/>
      <c r="AD238" s="12"/>
      <c r="AH238" s="12"/>
      <c r="AI238" s="12"/>
      <c r="AM238" s="12"/>
      <c r="AN238" s="12"/>
      <c r="AR238" s="12"/>
      <c r="AS238" s="12"/>
      <c r="AW238" s="12"/>
      <c r="AX238" s="12"/>
      <c r="BB238" s="12"/>
      <c r="BC238" s="12"/>
    </row>
    <row r="239" spans="1:55" x14ac:dyDescent="0.25">
      <c r="A239" s="15">
        <f t="shared" si="47"/>
        <v>0</v>
      </c>
      <c r="B239" s="20">
        <v>43371</v>
      </c>
      <c r="D239" s="12"/>
      <c r="E239" s="12"/>
      <c r="I239" s="12"/>
      <c r="J239" s="12"/>
      <c r="N239" s="12"/>
      <c r="O239" s="12"/>
      <c r="S239" s="12"/>
      <c r="T239" s="12"/>
      <c r="X239" s="12"/>
      <c r="Y239" s="12"/>
      <c r="AC239" s="12"/>
      <c r="AD239" s="12"/>
      <c r="AH239" s="12"/>
      <c r="AI239" s="12"/>
      <c r="AM239" s="12"/>
      <c r="AN239" s="12"/>
      <c r="AR239" s="12"/>
      <c r="AS239" s="12"/>
      <c r="AW239" s="12"/>
      <c r="AX239" s="12"/>
      <c r="BB239" s="12"/>
      <c r="BC239" s="12"/>
    </row>
    <row r="240" spans="1:55" x14ac:dyDescent="0.25">
      <c r="A240" s="15">
        <f t="shared" ref="A240:A303" si="48">+AN240+AS222+AX216+BC201</f>
        <v>0</v>
      </c>
      <c r="B240" s="20">
        <v>43372</v>
      </c>
      <c r="D240" s="12"/>
      <c r="E240" s="12"/>
      <c r="I240" s="12"/>
      <c r="J240" s="12"/>
      <c r="N240" s="12"/>
      <c r="O240" s="12"/>
      <c r="S240" s="12"/>
      <c r="T240" s="12"/>
      <c r="X240" s="12"/>
      <c r="Y240" s="12"/>
      <c r="AC240" s="12"/>
      <c r="AD240" s="12"/>
      <c r="AH240" s="12"/>
      <c r="AI240" s="12"/>
      <c r="AM240" s="12"/>
      <c r="AN240" s="12"/>
      <c r="AR240" s="12"/>
      <c r="AS240" s="12"/>
      <c r="AW240" s="12"/>
      <c r="AX240" s="12"/>
      <c r="BB240" s="12"/>
      <c r="BC240" s="12"/>
    </row>
    <row r="241" spans="1:55" x14ac:dyDescent="0.25">
      <c r="A241" s="15">
        <f t="shared" si="48"/>
        <v>0</v>
      </c>
      <c r="B241" s="20">
        <v>43373</v>
      </c>
      <c r="C241"/>
      <c r="D241" s="12"/>
      <c r="E241" s="12"/>
      <c r="I241" s="12"/>
      <c r="J241" s="12"/>
      <c r="N241" s="12"/>
      <c r="O241" s="12"/>
      <c r="S241" s="12"/>
      <c r="T241" s="12"/>
      <c r="X241" s="12"/>
      <c r="Y241" s="12"/>
      <c r="AC241" s="12"/>
      <c r="AD241" s="12"/>
      <c r="AH241" s="12"/>
      <c r="AI241" s="12"/>
      <c r="AM241" s="12"/>
      <c r="AN241" s="12"/>
      <c r="AR241" s="12"/>
      <c r="AS241" s="12"/>
      <c r="AW241" s="12"/>
      <c r="AX241" s="12"/>
      <c r="BB241" s="12"/>
      <c r="BC241" s="12"/>
    </row>
    <row r="242" spans="1:55" x14ac:dyDescent="0.25">
      <c r="A242" s="15">
        <f t="shared" si="48"/>
        <v>0</v>
      </c>
      <c r="B242" s="20">
        <v>43374</v>
      </c>
      <c r="C242"/>
      <c r="D242" s="12"/>
      <c r="E242" s="12"/>
      <c r="I242" s="12"/>
      <c r="J242" s="12"/>
      <c r="N242" s="12"/>
      <c r="O242" s="12"/>
      <c r="S242" s="12"/>
      <c r="T242" s="12"/>
      <c r="X242" s="12"/>
      <c r="Y242" s="12"/>
      <c r="AC242" s="12"/>
      <c r="AD242" s="12"/>
      <c r="AH242" s="12"/>
      <c r="AI242" s="12"/>
      <c r="AM242" s="12"/>
      <c r="AN242" s="12"/>
      <c r="AR242" s="12"/>
      <c r="AS242" s="12"/>
      <c r="AW242" s="12"/>
      <c r="AX242" s="12"/>
      <c r="BB242" s="12"/>
      <c r="BC242" s="12"/>
    </row>
    <row r="243" spans="1:55" x14ac:dyDescent="0.25">
      <c r="A243" s="15">
        <f t="shared" si="48"/>
        <v>0</v>
      </c>
      <c r="B243" s="20">
        <v>43375</v>
      </c>
      <c r="C243"/>
      <c r="D243" s="12"/>
      <c r="E243" s="12"/>
      <c r="I243" s="12"/>
      <c r="J243" s="12"/>
      <c r="N243" s="12"/>
      <c r="O243" s="12"/>
      <c r="S243" s="12"/>
      <c r="T243" s="12"/>
      <c r="X243" s="12"/>
      <c r="Y243" s="12"/>
      <c r="AC243" s="12"/>
      <c r="AD243" s="12"/>
      <c r="AH243" s="12"/>
      <c r="AI243" s="12"/>
      <c r="AM243" s="12"/>
      <c r="AN243" s="12"/>
      <c r="AR243" s="12"/>
      <c r="AS243" s="12"/>
      <c r="AW243" s="12"/>
      <c r="AX243" s="12"/>
      <c r="BB243" s="12"/>
      <c r="BC243" s="12"/>
    </row>
    <row r="244" spans="1:55" x14ac:dyDescent="0.25">
      <c r="A244" s="15">
        <f t="shared" si="48"/>
        <v>0</v>
      </c>
      <c r="B244" s="20">
        <v>43376</v>
      </c>
      <c r="C244"/>
      <c r="D244" s="12"/>
      <c r="E244" s="12"/>
      <c r="I244" s="12"/>
      <c r="J244" s="12"/>
      <c r="N244" s="12"/>
      <c r="O244" s="12"/>
      <c r="S244" s="12"/>
      <c r="T244" s="12"/>
      <c r="X244" s="12"/>
      <c r="Y244" s="12"/>
      <c r="AC244" s="12"/>
      <c r="AD244" s="12"/>
      <c r="AH244" s="12"/>
      <c r="AI244" s="12"/>
      <c r="AM244" s="12"/>
      <c r="AN244" s="12"/>
      <c r="AR244" s="12"/>
      <c r="AS244" s="12"/>
      <c r="AW244" s="12"/>
      <c r="AX244" s="12"/>
      <c r="BB244" s="12"/>
      <c r="BC244" s="12"/>
    </row>
    <row r="245" spans="1:55" x14ac:dyDescent="0.25">
      <c r="A245" s="15">
        <f t="shared" si="48"/>
        <v>0</v>
      </c>
      <c r="B245" s="20">
        <v>43377</v>
      </c>
      <c r="C245"/>
      <c r="D245" s="12"/>
      <c r="E245" s="12"/>
      <c r="I245" s="12"/>
      <c r="J245" s="12"/>
      <c r="N245" s="12"/>
      <c r="O245" s="12"/>
      <c r="S245" s="12"/>
      <c r="T245" s="12"/>
      <c r="X245" s="12"/>
      <c r="Y245" s="12"/>
      <c r="AC245" s="12"/>
      <c r="AD245" s="12"/>
      <c r="AH245" s="12"/>
      <c r="AI245" s="12"/>
      <c r="AM245" s="12"/>
      <c r="AN245" s="12"/>
      <c r="AR245" s="12"/>
      <c r="AS245" s="12"/>
      <c r="AW245" s="12"/>
      <c r="AX245" s="12"/>
      <c r="BB245" s="12"/>
      <c r="BC245" s="12"/>
    </row>
    <row r="246" spans="1:55" x14ac:dyDescent="0.25">
      <c r="A246" s="15">
        <f t="shared" si="48"/>
        <v>0</v>
      </c>
      <c r="B246" s="20">
        <v>43378</v>
      </c>
      <c r="C246"/>
      <c r="D246" s="12"/>
      <c r="E246" s="12"/>
      <c r="I246" s="12"/>
      <c r="J246" s="12"/>
      <c r="N246" s="12"/>
      <c r="O246" s="12"/>
      <c r="S246" s="12"/>
      <c r="T246" s="12"/>
      <c r="X246" s="12"/>
      <c r="Y246" s="12"/>
      <c r="AC246" s="12"/>
      <c r="AD246" s="12"/>
      <c r="AH246" s="12"/>
      <c r="AI246" s="12"/>
      <c r="AM246" s="12"/>
      <c r="AN246" s="12"/>
      <c r="AR246" s="12"/>
      <c r="AS246" s="12"/>
      <c r="AW246" s="12"/>
      <c r="AX246" s="12"/>
      <c r="BB246" s="12"/>
      <c r="BC246" s="12"/>
    </row>
    <row r="247" spans="1:55" x14ac:dyDescent="0.25">
      <c r="A247" s="15">
        <f t="shared" si="48"/>
        <v>0</v>
      </c>
      <c r="B247" s="20">
        <v>43379</v>
      </c>
      <c r="C247"/>
      <c r="D247" s="12"/>
      <c r="E247" s="12"/>
      <c r="I247" s="12"/>
      <c r="J247" s="12"/>
      <c r="N247" s="12"/>
      <c r="O247" s="12"/>
      <c r="S247" s="12"/>
      <c r="T247" s="12"/>
      <c r="X247" s="12"/>
      <c r="Y247" s="12"/>
      <c r="AC247" s="12"/>
      <c r="AD247" s="12"/>
      <c r="AH247" s="12"/>
      <c r="AI247" s="12"/>
      <c r="AM247" s="12"/>
      <c r="AN247" s="12"/>
      <c r="AR247" s="12"/>
      <c r="AS247" s="12"/>
      <c r="AW247" s="12"/>
      <c r="AX247" s="12"/>
      <c r="BB247" s="12"/>
      <c r="BC247" s="12"/>
    </row>
    <row r="248" spans="1:55" x14ac:dyDescent="0.25">
      <c r="A248" s="15">
        <f t="shared" si="48"/>
        <v>0</v>
      </c>
      <c r="B248" s="20">
        <v>43380</v>
      </c>
      <c r="C248"/>
      <c r="D248" s="12"/>
      <c r="E248" s="12"/>
      <c r="I248" s="12"/>
      <c r="J248" s="12"/>
      <c r="N248" s="12"/>
      <c r="O248" s="12"/>
      <c r="S248" s="12"/>
      <c r="T248" s="12"/>
      <c r="X248" s="12"/>
      <c r="Y248" s="12"/>
      <c r="AC248" s="12"/>
      <c r="AD248" s="12"/>
      <c r="AH248" s="12"/>
      <c r="AI248" s="12"/>
      <c r="AM248" s="12"/>
      <c r="AN248" s="12"/>
      <c r="AR248" s="12"/>
      <c r="AS248" s="12"/>
      <c r="AW248" s="12"/>
      <c r="AX248" s="12"/>
      <c r="BB248" s="12"/>
      <c r="BC248" s="12"/>
    </row>
    <row r="249" spans="1:55" x14ac:dyDescent="0.25">
      <c r="A249" s="15">
        <f t="shared" si="48"/>
        <v>0</v>
      </c>
      <c r="B249" s="20">
        <v>43381</v>
      </c>
      <c r="C249"/>
      <c r="D249" s="12"/>
      <c r="E249" s="12"/>
      <c r="I249" s="12"/>
      <c r="J249" s="12"/>
      <c r="N249" s="12"/>
      <c r="O249" s="12"/>
      <c r="S249" s="12"/>
      <c r="T249" s="12"/>
      <c r="X249" s="12"/>
      <c r="Y249" s="12"/>
      <c r="AC249" s="12"/>
      <c r="AD249" s="12"/>
      <c r="AH249" s="12"/>
      <c r="AI249" s="12"/>
      <c r="AM249" s="12"/>
      <c r="AN249" s="12"/>
      <c r="AR249" s="12"/>
      <c r="AS249" s="12"/>
      <c r="AW249" s="12"/>
      <c r="AX249" s="12"/>
      <c r="BB249" s="12"/>
      <c r="BC249" s="12"/>
    </row>
    <row r="250" spans="1:55" x14ac:dyDescent="0.25">
      <c r="A250" s="15">
        <f t="shared" si="48"/>
        <v>0</v>
      </c>
      <c r="B250" s="20">
        <v>43382</v>
      </c>
      <c r="C250"/>
      <c r="D250" s="12"/>
      <c r="E250" s="12"/>
      <c r="I250" s="12"/>
      <c r="J250" s="12"/>
      <c r="N250" s="12"/>
      <c r="O250" s="12"/>
      <c r="S250" s="12"/>
      <c r="T250" s="12"/>
      <c r="X250" s="12"/>
      <c r="Y250" s="12"/>
      <c r="AC250" s="12"/>
      <c r="AD250" s="12"/>
      <c r="AH250" s="12"/>
      <c r="AI250" s="12"/>
      <c r="AM250" s="12"/>
      <c r="AN250" s="12"/>
      <c r="AR250" s="12"/>
      <c r="AS250" s="12"/>
      <c r="AW250" s="12"/>
      <c r="AX250" s="12"/>
      <c r="BB250" s="12"/>
      <c r="BC250" s="12"/>
    </row>
    <row r="251" spans="1:55" x14ac:dyDescent="0.25">
      <c r="A251" s="15">
        <f t="shared" si="48"/>
        <v>0</v>
      </c>
      <c r="B251" s="20">
        <v>43383</v>
      </c>
      <c r="C251"/>
      <c r="D251" s="12"/>
      <c r="E251" s="12"/>
      <c r="I251" s="12"/>
      <c r="J251" s="12"/>
      <c r="N251" s="12"/>
      <c r="O251" s="12"/>
      <c r="S251" s="12"/>
      <c r="T251" s="12"/>
      <c r="X251" s="12"/>
      <c r="Y251" s="12"/>
      <c r="AC251" s="12"/>
      <c r="AD251" s="12"/>
      <c r="AH251" s="12"/>
      <c r="AI251" s="12"/>
      <c r="AM251" s="12"/>
      <c r="AN251" s="12"/>
      <c r="AR251" s="12"/>
      <c r="AS251" s="12"/>
      <c r="AW251" s="12"/>
      <c r="AX251" s="12"/>
      <c r="BB251" s="12"/>
      <c r="BC251" s="12"/>
    </row>
    <row r="252" spans="1:55" x14ac:dyDescent="0.25">
      <c r="A252" s="15">
        <f t="shared" si="48"/>
        <v>0</v>
      </c>
      <c r="B252" s="20">
        <v>43384</v>
      </c>
      <c r="C252"/>
      <c r="D252" s="12"/>
      <c r="E252" s="12"/>
      <c r="I252" s="12"/>
      <c r="J252" s="12"/>
      <c r="N252" s="12"/>
      <c r="O252" s="12"/>
      <c r="S252" s="12"/>
      <c r="T252" s="12"/>
      <c r="X252" s="12"/>
      <c r="Y252" s="12"/>
      <c r="AC252" s="12"/>
      <c r="AD252" s="12"/>
      <c r="AH252" s="12"/>
      <c r="AI252" s="12"/>
      <c r="AM252" s="12"/>
      <c r="AN252" s="12"/>
      <c r="AR252" s="12"/>
      <c r="AS252" s="12"/>
      <c r="AW252" s="12"/>
      <c r="AX252" s="12"/>
      <c r="BB252" s="12"/>
      <c r="BC252" s="12"/>
    </row>
    <row r="253" spans="1:55" x14ac:dyDescent="0.25">
      <c r="A253" s="15">
        <f t="shared" si="48"/>
        <v>0</v>
      </c>
      <c r="B253" s="20">
        <v>43385</v>
      </c>
      <c r="C253"/>
      <c r="D253" s="12"/>
      <c r="E253" s="12"/>
      <c r="I253" s="12"/>
      <c r="J253" s="12"/>
      <c r="N253" s="12"/>
      <c r="O253" s="12"/>
      <c r="S253" s="12"/>
      <c r="T253" s="12"/>
      <c r="X253" s="12"/>
      <c r="Y253" s="12"/>
      <c r="AC253" s="12"/>
      <c r="AD253" s="12"/>
      <c r="AH253" s="12"/>
      <c r="AI253" s="12"/>
      <c r="AM253" s="12"/>
      <c r="AN253" s="12"/>
      <c r="AR253" s="12"/>
      <c r="AS253" s="12"/>
      <c r="AW253" s="12"/>
      <c r="AX253" s="12"/>
      <c r="BB253" s="12"/>
      <c r="BC253" s="12"/>
    </row>
    <row r="254" spans="1:55" x14ac:dyDescent="0.25">
      <c r="A254" s="15">
        <f t="shared" si="48"/>
        <v>0</v>
      </c>
      <c r="B254" s="20">
        <v>43386</v>
      </c>
      <c r="C254"/>
      <c r="D254" s="12"/>
      <c r="E254" s="12"/>
      <c r="I254" s="12"/>
      <c r="J254" s="12"/>
      <c r="N254" s="12"/>
      <c r="O254" s="12"/>
      <c r="S254" s="12"/>
      <c r="T254" s="12"/>
      <c r="X254" s="12"/>
      <c r="Y254" s="12"/>
      <c r="AC254" s="12"/>
      <c r="AD254" s="12"/>
      <c r="AH254" s="12"/>
      <c r="AI254" s="12"/>
      <c r="AM254" s="12"/>
      <c r="AN254" s="12"/>
      <c r="AR254" s="12"/>
      <c r="AS254" s="12"/>
      <c r="AW254" s="12"/>
      <c r="AX254" s="12"/>
      <c r="BB254" s="12"/>
      <c r="BC254" s="12"/>
    </row>
    <row r="255" spans="1:55" x14ac:dyDescent="0.25">
      <c r="A255" s="15">
        <f t="shared" si="48"/>
        <v>0</v>
      </c>
      <c r="B255" s="20">
        <v>43387</v>
      </c>
      <c r="C255"/>
      <c r="D255" s="12"/>
      <c r="E255" s="12"/>
      <c r="I255" s="12"/>
      <c r="J255" s="12"/>
      <c r="N255" s="12"/>
      <c r="O255" s="12"/>
      <c r="S255" s="12"/>
      <c r="T255" s="12"/>
      <c r="X255" s="12"/>
      <c r="Y255" s="12"/>
      <c r="AC255" s="12"/>
      <c r="AD255" s="12"/>
      <c r="AH255" s="12"/>
      <c r="AI255" s="12"/>
      <c r="AM255" s="12"/>
      <c r="AN255" s="12"/>
      <c r="AR255" s="12"/>
      <c r="AS255" s="12"/>
      <c r="AW255" s="12"/>
      <c r="AX255" s="12"/>
      <c r="BB255" s="12"/>
      <c r="BC255" s="12"/>
    </row>
    <row r="256" spans="1:55" x14ac:dyDescent="0.25">
      <c r="A256" s="15">
        <f t="shared" si="48"/>
        <v>0</v>
      </c>
      <c r="B256" s="20">
        <v>43388</v>
      </c>
      <c r="C256"/>
      <c r="D256" s="12"/>
      <c r="E256" s="12"/>
      <c r="I256" s="12"/>
      <c r="J256" s="12"/>
      <c r="N256" s="12"/>
      <c r="O256" s="12"/>
      <c r="S256" s="12"/>
      <c r="T256" s="12"/>
      <c r="X256" s="12"/>
      <c r="Y256" s="12"/>
      <c r="AC256" s="12"/>
      <c r="AD256" s="12"/>
      <c r="AH256" s="12"/>
      <c r="AI256" s="12"/>
      <c r="AM256" s="12"/>
      <c r="AN256" s="12"/>
      <c r="AR256" s="12"/>
      <c r="AS256" s="12"/>
      <c r="AW256" s="12"/>
      <c r="AX256" s="12"/>
      <c r="BB256" s="12"/>
      <c r="BC256" s="12"/>
    </row>
    <row r="257" spans="1:2" x14ac:dyDescent="0.25">
      <c r="A257" s="15">
        <f t="shared" si="48"/>
        <v>0</v>
      </c>
      <c r="B257" s="20">
        <v>43389</v>
      </c>
    </row>
    <row r="258" spans="1:2" x14ac:dyDescent="0.25">
      <c r="A258" s="15">
        <f t="shared" si="48"/>
        <v>0</v>
      </c>
      <c r="B258" s="20">
        <v>43390</v>
      </c>
    </row>
    <row r="259" spans="1:2" x14ac:dyDescent="0.25">
      <c r="A259" s="15">
        <f t="shared" si="48"/>
        <v>0</v>
      </c>
      <c r="B259" s="20">
        <v>43391</v>
      </c>
    </row>
    <row r="260" spans="1:2" x14ac:dyDescent="0.25">
      <c r="A260" s="15">
        <f t="shared" si="48"/>
        <v>0</v>
      </c>
      <c r="B260" s="20">
        <v>43392</v>
      </c>
    </row>
    <row r="261" spans="1:2" x14ac:dyDescent="0.25">
      <c r="A261" s="15">
        <f t="shared" si="48"/>
        <v>0</v>
      </c>
      <c r="B261" s="20">
        <v>43393</v>
      </c>
    </row>
    <row r="262" spans="1:2" x14ac:dyDescent="0.25">
      <c r="A262" s="15">
        <f t="shared" si="48"/>
        <v>0</v>
      </c>
      <c r="B262" s="20">
        <v>43394</v>
      </c>
    </row>
    <row r="263" spans="1:2" x14ac:dyDescent="0.25">
      <c r="A263" s="15">
        <f t="shared" si="48"/>
        <v>0</v>
      </c>
      <c r="B263" s="20">
        <v>43395</v>
      </c>
    </row>
    <row r="264" spans="1:2" x14ac:dyDescent="0.25">
      <c r="A264" s="15">
        <f t="shared" si="48"/>
        <v>0</v>
      </c>
      <c r="B264" s="20">
        <v>43396</v>
      </c>
    </row>
    <row r="265" spans="1:2" x14ac:dyDescent="0.25">
      <c r="A265" s="15">
        <f t="shared" si="48"/>
        <v>0</v>
      </c>
      <c r="B265" s="20">
        <v>43397</v>
      </c>
    </row>
    <row r="266" spans="1:2" x14ac:dyDescent="0.25">
      <c r="A266" s="15">
        <f t="shared" si="48"/>
        <v>0</v>
      </c>
      <c r="B266" s="20">
        <v>43398</v>
      </c>
    </row>
    <row r="267" spans="1:2" x14ac:dyDescent="0.25">
      <c r="A267" s="15">
        <f t="shared" si="48"/>
        <v>0</v>
      </c>
      <c r="B267" s="20">
        <v>43399</v>
      </c>
    </row>
    <row r="268" spans="1:2" x14ac:dyDescent="0.25">
      <c r="A268" s="15">
        <f t="shared" si="48"/>
        <v>0</v>
      </c>
      <c r="B268" s="20">
        <v>43400</v>
      </c>
    </row>
    <row r="269" spans="1:2" x14ac:dyDescent="0.25">
      <c r="A269" s="15">
        <f t="shared" si="48"/>
        <v>0</v>
      </c>
      <c r="B269" s="20">
        <v>43401</v>
      </c>
    </row>
    <row r="270" spans="1:2" x14ac:dyDescent="0.25">
      <c r="A270" s="15">
        <f t="shared" si="48"/>
        <v>0</v>
      </c>
      <c r="B270" s="20">
        <v>43402</v>
      </c>
    </row>
    <row r="271" spans="1:2" x14ac:dyDescent="0.25">
      <c r="A271" s="15">
        <f t="shared" si="48"/>
        <v>0</v>
      </c>
      <c r="B271" s="20">
        <v>43403</v>
      </c>
    </row>
    <row r="272" spans="1:2" x14ac:dyDescent="0.25">
      <c r="A272" s="15">
        <f t="shared" si="48"/>
        <v>0</v>
      </c>
      <c r="B272" s="20">
        <v>43404</v>
      </c>
    </row>
    <row r="273" spans="1:2" x14ac:dyDescent="0.25">
      <c r="A273" s="15">
        <f t="shared" si="48"/>
        <v>0</v>
      </c>
      <c r="B273" s="20">
        <v>43405</v>
      </c>
    </row>
    <row r="274" spans="1:2" x14ac:dyDescent="0.25">
      <c r="A274" s="15">
        <f t="shared" si="48"/>
        <v>0</v>
      </c>
      <c r="B274" s="20">
        <v>43406</v>
      </c>
    </row>
    <row r="275" spans="1:2" x14ac:dyDescent="0.25">
      <c r="A275" s="15">
        <f t="shared" si="48"/>
        <v>0</v>
      </c>
      <c r="B275" s="20">
        <v>43407</v>
      </c>
    </row>
    <row r="276" spans="1:2" x14ac:dyDescent="0.25">
      <c r="A276" s="15">
        <f t="shared" si="48"/>
        <v>0</v>
      </c>
      <c r="B276" s="20">
        <v>43408</v>
      </c>
    </row>
    <row r="277" spans="1:2" x14ac:dyDescent="0.25">
      <c r="A277" s="15">
        <f t="shared" si="48"/>
        <v>0</v>
      </c>
      <c r="B277" s="20">
        <v>43409</v>
      </c>
    </row>
    <row r="278" spans="1:2" x14ac:dyDescent="0.25">
      <c r="A278" s="15">
        <f t="shared" si="48"/>
        <v>0</v>
      </c>
      <c r="B278" s="20">
        <v>43410</v>
      </c>
    </row>
    <row r="279" spans="1:2" x14ac:dyDescent="0.25">
      <c r="A279" s="15">
        <f t="shared" si="48"/>
        <v>0</v>
      </c>
      <c r="B279" s="20">
        <v>43411</v>
      </c>
    </row>
    <row r="280" spans="1:2" x14ac:dyDescent="0.25">
      <c r="A280" s="15">
        <f t="shared" si="48"/>
        <v>0</v>
      </c>
      <c r="B280" s="20">
        <v>43412</v>
      </c>
    </row>
    <row r="281" spans="1:2" x14ac:dyDescent="0.25">
      <c r="A281" s="15">
        <f t="shared" si="48"/>
        <v>0</v>
      </c>
      <c r="B281" s="20">
        <v>43413</v>
      </c>
    </row>
    <row r="282" spans="1:2" x14ac:dyDescent="0.25">
      <c r="A282" s="15">
        <f t="shared" si="48"/>
        <v>0</v>
      </c>
      <c r="B282" s="20">
        <v>43414</v>
      </c>
    </row>
    <row r="283" spans="1:2" x14ac:dyDescent="0.25">
      <c r="A283" s="15">
        <f t="shared" si="48"/>
        <v>0</v>
      </c>
      <c r="B283" s="20">
        <v>43415</v>
      </c>
    </row>
    <row r="284" spans="1:2" x14ac:dyDescent="0.25">
      <c r="A284" s="15">
        <f t="shared" si="48"/>
        <v>0</v>
      </c>
      <c r="B284" s="20">
        <v>43416</v>
      </c>
    </row>
    <row r="285" spans="1:2" x14ac:dyDescent="0.25">
      <c r="A285" s="15">
        <f t="shared" si="48"/>
        <v>0</v>
      </c>
      <c r="B285" s="20">
        <v>43417</v>
      </c>
    </row>
    <row r="286" spans="1:2" x14ac:dyDescent="0.25">
      <c r="A286" s="15">
        <f t="shared" si="48"/>
        <v>0</v>
      </c>
      <c r="B286" s="20">
        <v>43418</v>
      </c>
    </row>
    <row r="287" spans="1:2" x14ac:dyDescent="0.25">
      <c r="A287" s="15">
        <f t="shared" si="48"/>
        <v>0</v>
      </c>
      <c r="B287" s="20">
        <v>43419</v>
      </c>
    </row>
    <row r="288" spans="1:2" x14ac:dyDescent="0.25">
      <c r="A288" s="15">
        <f t="shared" si="48"/>
        <v>0</v>
      </c>
      <c r="B288" s="20">
        <v>43420</v>
      </c>
    </row>
    <row r="289" spans="1:2" x14ac:dyDescent="0.25">
      <c r="A289" s="15">
        <f t="shared" si="48"/>
        <v>0</v>
      </c>
      <c r="B289" s="20">
        <v>43421</v>
      </c>
    </row>
    <row r="290" spans="1:2" x14ac:dyDescent="0.25">
      <c r="A290" s="15">
        <f t="shared" si="48"/>
        <v>0</v>
      </c>
      <c r="B290" s="20">
        <v>43422</v>
      </c>
    </row>
    <row r="291" spans="1:2" x14ac:dyDescent="0.25">
      <c r="A291" s="15">
        <f t="shared" si="48"/>
        <v>0</v>
      </c>
      <c r="B291" s="20">
        <v>43423</v>
      </c>
    </row>
    <row r="292" spans="1:2" x14ac:dyDescent="0.25">
      <c r="A292" s="15">
        <f t="shared" si="48"/>
        <v>0</v>
      </c>
      <c r="B292" s="20">
        <v>43424</v>
      </c>
    </row>
    <row r="293" spans="1:2" x14ac:dyDescent="0.25">
      <c r="A293" s="15">
        <f t="shared" si="48"/>
        <v>0</v>
      </c>
      <c r="B293" s="20">
        <v>43425</v>
      </c>
    </row>
    <row r="294" spans="1:2" x14ac:dyDescent="0.25">
      <c r="A294" s="15">
        <f t="shared" si="48"/>
        <v>0</v>
      </c>
      <c r="B294" s="20">
        <v>43426</v>
      </c>
    </row>
    <row r="295" spans="1:2" x14ac:dyDescent="0.25">
      <c r="A295" s="15">
        <f t="shared" si="48"/>
        <v>0</v>
      </c>
      <c r="B295" s="20">
        <v>43427</v>
      </c>
    </row>
    <row r="296" spans="1:2" x14ac:dyDescent="0.25">
      <c r="A296" s="15">
        <f t="shared" si="48"/>
        <v>0</v>
      </c>
      <c r="B296" s="20">
        <v>43428</v>
      </c>
    </row>
    <row r="297" spans="1:2" x14ac:dyDescent="0.25">
      <c r="A297" s="15">
        <f t="shared" si="48"/>
        <v>0</v>
      </c>
      <c r="B297" s="20">
        <v>43429</v>
      </c>
    </row>
    <row r="298" spans="1:2" x14ac:dyDescent="0.25">
      <c r="A298" s="15">
        <f t="shared" si="48"/>
        <v>0</v>
      </c>
      <c r="B298" s="20">
        <v>43430</v>
      </c>
    </row>
    <row r="299" spans="1:2" x14ac:dyDescent="0.25">
      <c r="A299" s="15">
        <f t="shared" si="48"/>
        <v>0</v>
      </c>
      <c r="B299" s="20">
        <v>43431</v>
      </c>
    </row>
    <row r="300" spans="1:2" x14ac:dyDescent="0.25">
      <c r="A300" s="15">
        <f t="shared" si="48"/>
        <v>0</v>
      </c>
      <c r="B300" s="20">
        <v>43432</v>
      </c>
    </row>
    <row r="301" spans="1:2" x14ac:dyDescent="0.25">
      <c r="A301" s="15">
        <f t="shared" si="48"/>
        <v>0</v>
      </c>
      <c r="B301" s="20">
        <v>43433</v>
      </c>
    </row>
    <row r="302" spans="1:2" x14ac:dyDescent="0.25">
      <c r="A302" s="15">
        <f t="shared" si="48"/>
        <v>0</v>
      </c>
      <c r="B302" s="20">
        <v>43434</v>
      </c>
    </row>
    <row r="303" spans="1:2" x14ac:dyDescent="0.25">
      <c r="A303" s="15">
        <f t="shared" si="48"/>
        <v>0</v>
      </c>
      <c r="B303" s="20">
        <v>43435</v>
      </c>
    </row>
    <row r="304" spans="1:2" x14ac:dyDescent="0.25">
      <c r="A304" s="15">
        <f t="shared" ref="A304:A367" si="49">+AN304+AS286+AX280+BC265</f>
        <v>0</v>
      </c>
      <c r="B304" s="20">
        <v>43436</v>
      </c>
    </row>
    <row r="305" spans="1:2" x14ac:dyDescent="0.25">
      <c r="A305" s="15">
        <f t="shared" si="49"/>
        <v>0</v>
      </c>
      <c r="B305" s="20">
        <v>43437</v>
      </c>
    </row>
    <row r="306" spans="1:2" x14ac:dyDescent="0.25">
      <c r="A306" s="15">
        <f t="shared" si="49"/>
        <v>0</v>
      </c>
      <c r="B306" s="20">
        <v>43438</v>
      </c>
    </row>
    <row r="307" spans="1:2" x14ac:dyDescent="0.25">
      <c r="A307" s="15">
        <f t="shared" si="49"/>
        <v>0</v>
      </c>
      <c r="B307" s="20">
        <v>43439</v>
      </c>
    </row>
    <row r="308" spans="1:2" x14ac:dyDescent="0.25">
      <c r="A308" s="15">
        <f t="shared" si="49"/>
        <v>0</v>
      </c>
      <c r="B308" s="20">
        <v>43440</v>
      </c>
    </row>
    <row r="309" spans="1:2" x14ac:dyDescent="0.25">
      <c r="A309" s="15">
        <f t="shared" si="49"/>
        <v>0</v>
      </c>
      <c r="B309" s="20">
        <v>43441</v>
      </c>
    </row>
    <row r="310" spans="1:2" x14ac:dyDescent="0.25">
      <c r="A310" s="15">
        <f t="shared" si="49"/>
        <v>0</v>
      </c>
      <c r="B310" s="20">
        <v>43442</v>
      </c>
    </row>
    <row r="311" spans="1:2" x14ac:dyDescent="0.25">
      <c r="A311" s="15">
        <f t="shared" si="49"/>
        <v>0</v>
      </c>
      <c r="B311" s="20">
        <v>43443</v>
      </c>
    </row>
    <row r="312" spans="1:2" x14ac:dyDescent="0.25">
      <c r="A312" s="15">
        <f t="shared" si="49"/>
        <v>0</v>
      </c>
      <c r="B312" s="20">
        <v>43444</v>
      </c>
    </row>
    <row r="313" spans="1:2" x14ac:dyDescent="0.25">
      <c r="A313" s="15">
        <f t="shared" si="49"/>
        <v>0</v>
      </c>
      <c r="B313" s="20">
        <v>43445</v>
      </c>
    </row>
    <row r="314" spans="1:2" x14ac:dyDescent="0.25">
      <c r="A314" s="15">
        <f t="shared" si="49"/>
        <v>0</v>
      </c>
      <c r="B314" s="20">
        <v>43446</v>
      </c>
    </row>
    <row r="315" spans="1:2" x14ac:dyDescent="0.25">
      <c r="A315" s="15">
        <f t="shared" si="49"/>
        <v>0</v>
      </c>
      <c r="B315" s="20">
        <v>43447</v>
      </c>
    </row>
    <row r="316" spans="1:2" x14ac:dyDescent="0.25">
      <c r="A316" s="15">
        <f t="shared" si="49"/>
        <v>0</v>
      </c>
      <c r="B316" s="20">
        <v>43448</v>
      </c>
    </row>
    <row r="317" spans="1:2" x14ac:dyDescent="0.25">
      <c r="A317" s="15">
        <f t="shared" si="49"/>
        <v>0</v>
      </c>
      <c r="B317" s="20">
        <v>43449</v>
      </c>
    </row>
    <row r="318" spans="1:2" x14ac:dyDescent="0.25">
      <c r="A318" s="15">
        <f t="shared" si="49"/>
        <v>0</v>
      </c>
      <c r="B318" s="20">
        <v>43450</v>
      </c>
    </row>
    <row r="319" spans="1:2" x14ac:dyDescent="0.25">
      <c r="A319" s="15">
        <f t="shared" si="49"/>
        <v>0</v>
      </c>
      <c r="B319" s="20">
        <v>43451</v>
      </c>
    </row>
    <row r="320" spans="1:2" x14ac:dyDescent="0.25">
      <c r="A320" s="15">
        <f t="shared" si="49"/>
        <v>0</v>
      </c>
      <c r="B320" s="20">
        <v>43452</v>
      </c>
    </row>
    <row r="321" spans="1:2" x14ac:dyDescent="0.25">
      <c r="A321" s="15">
        <f t="shared" si="49"/>
        <v>0</v>
      </c>
      <c r="B321" s="20">
        <v>43453</v>
      </c>
    </row>
    <row r="322" spans="1:2" x14ac:dyDescent="0.25">
      <c r="A322" s="15">
        <f t="shared" si="49"/>
        <v>0</v>
      </c>
      <c r="B322" s="20">
        <v>43454</v>
      </c>
    </row>
    <row r="323" spans="1:2" x14ac:dyDescent="0.25">
      <c r="A323" s="15">
        <f t="shared" si="49"/>
        <v>0</v>
      </c>
      <c r="B323" s="20">
        <v>43455</v>
      </c>
    </row>
    <row r="324" spans="1:2" x14ac:dyDescent="0.25">
      <c r="A324" s="15">
        <f t="shared" si="49"/>
        <v>0</v>
      </c>
      <c r="B324" s="20">
        <v>43456</v>
      </c>
    </row>
    <row r="325" spans="1:2" x14ac:dyDescent="0.25">
      <c r="A325" s="15">
        <f t="shared" si="49"/>
        <v>0</v>
      </c>
      <c r="B325" s="20">
        <v>43457</v>
      </c>
    </row>
    <row r="326" spans="1:2" x14ac:dyDescent="0.25">
      <c r="A326" s="15">
        <f t="shared" si="49"/>
        <v>0</v>
      </c>
      <c r="B326" s="20">
        <v>43458</v>
      </c>
    </row>
    <row r="327" spans="1:2" x14ac:dyDescent="0.25">
      <c r="A327" s="15">
        <f t="shared" si="49"/>
        <v>0</v>
      </c>
      <c r="B327" s="20">
        <v>43459</v>
      </c>
    </row>
    <row r="328" spans="1:2" x14ac:dyDescent="0.25">
      <c r="A328" s="15">
        <f t="shared" si="49"/>
        <v>0</v>
      </c>
      <c r="B328" s="20">
        <v>43460</v>
      </c>
    </row>
    <row r="329" spans="1:2" x14ac:dyDescent="0.25">
      <c r="A329" s="15">
        <f t="shared" si="49"/>
        <v>0</v>
      </c>
      <c r="B329" s="20">
        <v>43461</v>
      </c>
    </row>
    <row r="330" spans="1:2" x14ac:dyDescent="0.25">
      <c r="A330" s="15">
        <f t="shared" si="49"/>
        <v>0</v>
      </c>
      <c r="B330" s="20">
        <v>43462</v>
      </c>
    </row>
    <row r="331" spans="1:2" x14ac:dyDescent="0.25">
      <c r="A331" s="15">
        <f t="shared" si="49"/>
        <v>0</v>
      </c>
      <c r="B331" s="20">
        <v>43463</v>
      </c>
    </row>
    <row r="332" spans="1:2" x14ac:dyDescent="0.25">
      <c r="A332" s="15">
        <f t="shared" si="49"/>
        <v>0</v>
      </c>
      <c r="B332" s="20">
        <v>43464</v>
      </c>
    </row>
    <row r="333" spans="1:2" x14ac:dyDescent="0.25">
      <c r="A333" s="15">
        <f t="shared" si="49"/>
        <v>0</v>
      </c>
      <c r="B333" s="20">
        <v>43465</v>
      </c>
    </row>
    <row r="334" spans="1:2" x14ac:dyDescent="0.25">
      <c r="A334" s="15">
        <f t="shared" si="49"/>
        <v>0</v>
      </c>
      <c r="B334" s="20">
        <v>43466</v>
      </c>
    </row>
    <row r="335" spans="1:2" x14ac:dyDescent="0.25">
      <c r="A335" s="15">
        <f t="shared" si="49"/>
        <v>0</v>
      </c>
      <c r="B335" s="20">
        <v>43467</v>
      </c>
    </row>
    <row r="336" spans="1:2" x14ac:dyDescent="0.25">
      <c r="A336" s="15">
        <f t="shared" si="49"/>
        <v>0</v>
      </c>
      <c r="B336" s="20">
        <v>43468</v>
      </c>
    </row>
    <row r="337" spans="1:2" x14ac:dyDescent="0.25">
      <c r="A337" s="15">
        <f t="shared" si="49"/>
        <v>0</v>
      </c>
      <c r="B337" s="20">
        <v>43469</v>
      </c>
    </row>
    <row r="338" spans="1:2" x14ac:dyDescent="0.25">
      <c r="A338" s="15">
        <f t="shared" si="49"/>
        <v>0</v>
      </c>
      <c r="B338" s="20">
        <v>43470</v>
      </c>
    </row>
    <row r="339" spans="1:2" x14ac:dyDescent="0.25">
      <c r="A339" s="15">
        <f t="shared" si="49"/>
        <v>0</v>
      </c>
      <c r="B339" s="20">
        <v>43471</v>
      </c>
    </row>
    <row r="340" spans="1:2" x14ac:dyDescent="0.25">
      <c r="A340" s="15">
        <f t="shared" si="49"/>
        <v>0</v>
      </c>
      <c r="B340" s="20">
        <v>43472</v>
      </c>
    </row>
    <row r="341" spans="1:2" x14ac:dyDescent="0.25">
      <c r="A341" s="15">
        <f t="shared" si="49"/>
        <v>0</v>
      </c>
      <c r="B341" s="20">
        <v>43473</v>
      </c>
    </row>
    <row r="342" spans="1:2" x14ac:dyDescent="0.25">
      <c r="A342" s="15">
        <f t="shared" si="49"/>
        <v>0</v>
      </c>
      <c r="B342" s="20">
        <v>43474</v>
      </c>
    </row>
    <row r="343" spans="1:2" x14ac:dyDescent="0.25">
      <c r="A343" s="15">
        <f t="shared" si="49"/>
        <v>0</v>
      </c>
      <c r="B343" s="20">
        <v>43475</v>
      </c>
    </row>
    <row r="344" spans="1:2" x14ac:dyDescent="0.25">
      <c r="A344" s="15">
        <f t="shared" si="49"/>
        <v>0</v>
      </c>
      <c r="B344" s="20">
        <v>43476</v>
      </c>
    </row>
    <row r="345" spans="1:2" x14ac:dyDescent="0.25">
      <c r="A345" s="15">
        <f t="shared" si="49"/>
        <v>0</v>
      </c>
      <c r="B345" s="20">
        <v>43477</v>
      </c>
    </row>
    <row r="346" spans="1:2" x14ac:dyDescent="0.25">
      <c r="A346" s="15">
        <f t="shared" si="49"/>
        <v>0</v>
      </c>
      <c r="B346" s="20">
        <v>43478</v>
      </c>
    </row>
    <row r="347" spans="1:2" x14ac:dyDescent="0.25">
      <c r="A347" s="15">
        <f t="shared" si="49"/>
        <v>0</v>
      </c>
      <c r="B347" s="20">
        <v>43479</v>
      </c>
    </row>
    <row r="348" spans="1:2" x14ac:dyDescent="0.25">
      <c r="A348" s="15">
        <f t="shared" si="49"/>
        <v>0</v>
      </c>
      <c r="B348" s="20">
        <v>43480</v>
      </c>
    </row>
    <row r="349" spans="1:2" x14ac:dyDescent="0.25">
      <c r="A349" s="15">
        <f t="shared" si="49"/>
        <v>0</v>
      </c>
      <c r="B349" s="20">
        <v>43481</v>
      </c>
    </row>
    <row r="350" spans="1:2" x14ac:dyDescent="0.25">
      <c r="A350" s="15">
        <f t="shared" si="49"/>
        <v>0</v>
      </c>
      <c r="B350" s="20">
        <v>43482</v>
      </c>
    </row>
    <row r="351" spans="1:2" x14ac:dyDescent="0.25">
      <c r="A351" s="15">
        <f t="shared" si="49"/>
        <v>0</v>
      </c>
      <c r="B351" s="20">
        <v>43483</v>
      </c>
    </row>
    <row r="352" spans="1:2" x14ac:dyDescent="0.25">
      <c r="A352" s="15">
        <f t="shared" si="49"/>
        <v>0</v>
      </c>
      <c r="B352" s="20">
        <v>43484</v>
      </c>
    </row>
    <row r="353" spans="1:2" x14ac:dyDescent="0.25">
      <c r="A353" s="15">
        <f t="shared" si="49"/>
        <v>0</v>
      </c>
      <c r="B353" s="20">
        <v>43485</v>
      </c>
    </row>
    <row r="354" spans="1:2" x14ac:dyDescent="0.25">
      <c r="A354" s="15">
        <f t="shared" si="49"/>
        <v>0</v>
      </c>
      <c r="B354" s="20">
        <v>43486</v>
      </c>
    </row>
    <row r="355" spans="1:2" x14ac:dyDescent="0.25">
      <c r="A355" s="15">
        <f t="shared" si="49"/>
        <v>0</v>
      </c>
      <c r="B355" s="20">
        <v>43487</v>
      </c>
    </row>
    <row r="356" spans="1:2" x14ac:dyDescent="0.25">
      <c r="A356" s="15">
        <f t="shared" si="49"/>
        <v>0</v>
      </c>
      <c r="B356" s="20">
        <v>43488</v>
      </c>
    </row>
    <row r="357" spans="1:2" x14ac:dyDescent="0.25">
      <c r="A357" s="15">
        <f t="shared" si="49"/>
        <v>0</v>
      </c>
      <c r="B357" s="20">
        <v>43489</v>
      </c>
    </row>
    <row r="358" spans="1:2" x14ac:dyDescent="0.25">
      <c r="A358" s="15">
        <f t="shared" si="49"/>
        <v>0</v>
      </c>
      <c r="B358" s="20">
        <v>43490</v>
      </c>
    </row>
    <row r="359" spans="1:2" x14ac:dyDescent="0.25">
      <c r="A359" s="15">
        <f t="shared" si="49"/>
        <v>0</v>
      </c>
      <c r="B359" s="20">
        <v>43491</v>
      </c>
    </row>
    <row r="360" spans="1:2" x14ac:dyDescent="0.25">
      <c r="A360" s="15">
        <f t="shared" si="49"/>
        <v>0</v>
      </c>
      <c r="B360" s="20">
        <v>43492</v>
      </c>
    </row>
    <row r="361" spans="1:2" x14ac:dyDescent="0.25">
      <c r="A361" s="15">
        <f t="shared" si="49"/>
        <v>0</v>
      </c>
      <c r="B361" s="20">
        <v>43493</v>
      </c>
    </row>
    <row r="362" spans="1:2" x14ac:dyDescent="0.25">
      <c r="A362" s="15">
        <f t="shared" si="49"/>
        <v>0</v>
      </c>
      <c r="B362" s="20">
        <v>43494</v>
      </c>
    </row>
    <row r="363" spans="1:2" x14ac:dyDescent="0.25">
      <c r="A363" s="15">
        <f t="shared" si="49"/>
        <v>0</v>
      </c>
      <c r="B363" s="20">
        <v>43495</v>
      </c>
    </row>
    <row r="364" spans="1:2" x14ac:dyDescent="0.25">
      <c r="A364" s="15">
        <f t="shared" si="49"/>
        <v>0</v>
      </c>
      <c r="B364" s="20">
        <v>43496</v>
      </c>
    </row>
    <row r="365" spans="1:2" x14ac:dyDescent="0.25">
      <c r="A365" s="15">
        <f t="shared" si="49"/>
        <v>0</v>
      </c>
      <c r="B365" s="20">
        <v>43497</v>
      </c>
    </row>
    <row r="366" spans="1:2" x14ac:dyDescent="0.25">
      <c r="A366" s="15">
        <f t="shared" si="49"/>
        <v>0</v>
      </c>
      <c r="B366" s="20">
        <v>43498</v>
      </c>
    </row>
    <row r="367" spans="1:2" x14ac:dyDescent="0.25">
      <c r="A367" s="15">
        <f t="shared" si="49"/>
        <v>0</v>
      </c>
      <c r="B367" s="20">
        <v>43499</v>
      </c>
    </row>
    <row r="368" spans="1:2" x14ac:dyDescent="0.25">
      <c r="A368" s="15">
        <f t="shared" ref="A368:A431" si="50">+AN368+AS350+AX344+BC329</f>
        <v>0</v>
      </c>
      <c r="B368" s="20">
        <v>43500</v>
      </c>
    </row>
    <row r="369" spans="1:2" x14ac:dyDescent="0.25">
      <c r="A369" s="15">
        <f t="shared" si="50"/>
        <v>0</v>
      </c>
      <c r="B369" s="20">
        <v>43501</v>
      </c>
    </row>
    <row r="370" spans="1:2" x14ac:dyDescent="0.25">
      <c r="A370" s="15">
        <f t="shared" si="50"/>
        <v>0</v>
      </c>
      <c r="B370" s="20">
        <v>43502</v>
      </c>
    </row>
    <row r="371" spans="1:2" x14ac:dyDescent="0.25">
      <c r="A371" s="15">
        <f t="shared" si="50"/>
        <v>0</v>
      </c>
      <c r="B371" s="20">
        <v>43503</v>
      </c>
    </row>
    <row r="372" spans="1:2" x14ac:dyDescent="0.25">
      <c r="A372" s="15">
        <f t="shared" si="50"/>
        <v>0</v>
      </c>
      <c r="B372" s="20">
        <v>43504</v>
      </c>
    </row>
    <row r="373" spans="1:2" x14ac:dyDescent="0.25">
      <c r="A373" s="15">
        <f t="shared" si="50"/>
        <v>0</v>
      </c>
      <c r="B373" s="20">
        <v>43505</v>
      </c>
    </row>
    <row r="374" spans="1:2" x14ac:dyDescent="0.25">
      <c r="A374" s="15">
        <f t="shared" si="50"/>
        <v>0</v>
      </c>
      <c r="B374" s="20">
        <v>43506</v>
      </c>
    </row>
    <row r="375" spans="1:2" x14ac:dyDescent="0.25">
      <c r="A375" s="15">
        <f t="shared" si="50"/>
        <v>0</v>
      </c>
      <c r="B375" s="20">
        <v>43507</v>
      </c>
    </row>
    <row r="376" spans="1:2" x14ac:dyDescent="0.25">
      <c r="A376" s="15">
        <f t="shared" si="50"/>
        <v>0</v>
      </c>
      <c r="B376" s="20">
        <v>43508</v>
      </c>
    </row>
    <row r="377" spans="1:2" x14ac:dyDescent="0.25">
      <c r="A377" s="15">
        <f t="shared" si="50"/>
        <v>0</v>
      </c>
      <c r="B377" s="20">
        <v>43509</v>
      </c>
    </row>
    <row r="378" spans="1:2" x14ac:dyDescent="0.25">
      <c r="A378" s="15">
        <f t="shared" si="50"/>
        <v>0</v>
      </c>
      <c r="B378" s="20">
        <v>43510</v>
      </c>
    </row>
    <row r="379" spans="1:2" x14ac:dyDescent="0.25">
      <c r="A379" s="15">
        <f t="shared" si="50"/>
        <v>0</v>
      </c>
      <c r="B379" s="20">
        <v>43511</v>
      </c>
    </row>
    <row r="380" spans="1:2" x14ac:dyDescent="0.25">
      <c r="A380" s="15">
        <f t="shared" si="50"/>
        <v>0</v>
      </c>
      <c r="B380" s="20">
        <v>43512</v>
      </c>
    </row>
    <row r="381" spans="1:2" x14ac:dyDescent="0.25">
      <c r="A381" s="15">
        <f t="shared" si="50"/>
        <v>0</v>
      </c>
      <c r="B381" s="20">
        <v>43513</v>
      </c>
    </row>
    <row r="382" spans="1:2" x14ac:dyDescent="0.25">
      <c r="A382" s="15">
        <f t="shared" si="50"/>
        <v>0</v>
      </c>
      <c r="B382" s="20">
        <v>43514</v>
      </c>
    </row>
    <row r="383" spans="1:2" x14ac:dyDescent="0.25">
      <c r="A383" s="15">
        <f t="shared" si="50"/>
        <v>0</v>
      </c>
      <c r="B383" s="20">
        <v>43515</v>
      </c>
    </row>
    <row r="384" spans="1:2" x14ac:dyDescent="0.25">
      <c r="A384" s="15">
        <f t="shared" si="50"/>
        <v>0</v>
      </c>
      <c r="B384" s="20">
        <v>43516</v>
      </c>
    </row>
    <row r="385" spans="1:2" x14ac:dyDescent="0.25">
      <c r="A385" s="15">
        <f t="shared" si="50"/>
        <v>0</v>
      </c>
      <c r="B385" s="20">
        <v>43517</v>
      </c>
    </row>
    <row r="386" spans="1:2" x14ac:dyDescent="0.25">
      <c r="A386" s="15">
        <f t="shared" si="50"/>
        <v>0</v>
      </c>
      <c r="B386" s="20">
        <v>43518</v>
      </c>
    </row>
    <row r="387" spans="1:2" x14ac:dyDescent="0.25">
      <c r="A387" s="15">
        <f t="shared" si="50"/>
        <v>0</v>
      </c>
      <c r="B387" s="20">
        <v>43519</v>
      </c>
    </row>
    <row r="388" spans="1:2" x14ac:dyDescent="0.25">
      <c r="A388" s="15">
        <f t="shared" si="50"/>
        <v>0</v>
      </c>
      <c r="B388" s="20">
        <v>43520</v>
      </c>
    </row>
    <row r="389" spans="1:2" x14ac:dyDescent="0.25">
      <c r="A389" s="15">
        <f t="shared" si="50"/>
        <v>0</v>
      </c>
      <c r="B389" s="20">
        <v>43521</v>
      </c>
    </row>
    <row r="390" spans="1:2" x14ac:dyDescent="0.25">
      <c r="A390" s="15">
        <f t="shared" si="50"/>
        <v>0</v>
      </c>
      <c r="B390" s="20">
        <v>43522</v>
      </c>
    </row>
    <row r="391" spans="1:2" x14ac:dyDescent="0.25">
      <c r="A391" s="15">
        <f t="shared" si="50"/>
        <v>0</v>
      </c>
      <c r="B391" s="20">
        <v>43523</v>
      </c>
    </row>
    <row r="392" spans="1:2" x14ac:dyDescent="0.25">
      <c r="A392" s="15">
        <f t="shared" si="50"/>
        <v>0</v>
      </c>
      <c r="B392" s="20">
        <v>43524</v>
      </c>
    </row>
    <row r="393" spans="1:2" x14ac:dyDescent="0.25">
      <c r="A393" s="15">
        <f t="shared" si="50"/>
        <v>0</v>
      </c>
      <c r="B393" s="20">
        <v>43525</v>
      </c>
    </row>
    <row r="394" spans="1:2" x14ac:dyDescent="0.25">
      <c r="A394" s="15">
        <f t="shared" si="50"/>
        <v>0</v>
      </c>
      <c r="B394" s="20">
        <v>43526</v>
      </c>
    </row>
    <row r="395" spans="1:2" x14ac:dyDescent="0.25">
      <c r="A395" s="15">
        <f t="shared" si="50"/>
        <v>0</v>
      </c>
      <c r="B395" s="20">
        <v>43527</v>
      </c>
    </row>
    <row r="396" spans="1:2" x14ac:dyDescent="0.25">
      <c r="A396" s="15">
        <f t="shared" si="50"/>
        <v>0</v>
      </c>
      <c r="B396" s="20">
        <v>43528</v>
      </c>
    </row>
    <row r="397" spans="1:2" x14ac:dyDescent="0.25">
      <c r="A397" s="15">
        <f t="shared" si="50"/>
        <v>0</v>
      </c>
      <c r="B397" s="20">
        <v>43529</v>
      </c>
    </row>
    <row r="398" spans="1:2" x14ac:dyDescent="0.25">
      <c r="A398" s="15">
        <f t="shared" si="50"/>
        <v>0</v>
      </c>
      <c r="B398" s="20">
        <v>43530</v>
      </c>
    </row>
    <row r="399" spans="1:2" x14ac:dyDescent="0.25">
      <c r="A399" s="15">
        <f t="shared" si="50"/>
        <v>0</v>
      </c>
      <c r="B399" s="20">
        <v>43531</v>
      </c>
    </row>
    <row r="400" spans="1:2" x14ac:dyDescent="0.25">
      <c r="A400" s="15">
        <f t="shared" si="50"/>
        <v>0</v>
      </c>
      <c r="B400" s="20">
        <v>43532</v>
      </c>
    </row>
    <row r="401" spans="1:2" x14ac:dyDescent="0.25">
      <c r="A401" s="15">
        <f t="shared" si="50"/>
        <v>0</v>
      </c>
      <c r="B401" s="20">
        <v>43533</v>
      </c>
    </row>
    <row r="402" spans="1:2" x14ac:dyDescent="0.25">
      <c r="A402" s="15">
        <f t="shared" si="50"/>
        <v>0</v>
      </c>
      <c r="B402" s="20">
        <v>43534</v>
      </c>
    </row>
    <row r="403" spans="1:2" x14ac:dyDescent="0.25">
      <c r="A403" s="15">
        <f t="shared" si="50"/>
        <v>0</v>
      </c>
      <c r="B403" s="20">
        <v>43535</v>
      </c>
    </row>
    <row r="404" spans="1:2" x14ac:dyDescent="0.25">
      <c r="A404" s="15">
        <f t="shared" si="50"/>
        <v>0</v>
      </c>
      <c r="B404" s="20">
        <v>43536</v>
      </c>
    </row>
    <row r="405" spans="1:2" x14ac:dyDescent="0.25">
      <c r="A405" s="15">
        <f t="shared" si="50"/>
        <v>0</v>
      </c>
      <c r="B405" s="20">
        <v>43537</v>
      </c>
    </row>
    <row r="406" spans="1:2" x14ac:dyDescent="0.25">
      <c r="A406" s="15">
        <f t="shared" si="50"/>
        <v>0</v>
      </c>
      <c r="B406" s="20">
        <v>43538</v>
      </c>
    </row>
    <row r="407" spans="1:2" x14ac:dyDescent="0.25">
      <c r="A407" s="15">
        <f t="shared" si="50"/>
        <v>0</v>
      </c>
      <c r="B407" s="20">
        <v>43539</v>
      </c>
    </row>
    <row r="408" spans="1:2" x14ac:dyDescent="0.25">
      <c r="A408" s="15">
        <f t="shared" si="50"/>
        <v>0</v>
      </c>
      <c r="B408" s="20">
        <v>43540</v>
      </c>
    </row>
    <row r="409" spans="1:2" x14ac:dyDescent="0.25">
      <c r="A409" s="15">
        <f t="shared" si="50"/>
        <v>0</v>
      </c>
      <c r="B409" s="20">
        <v>43541</v>
      </c>
    </row>
    <row r="410" spans="1:2" x14ac:dyDescent="0.25">
      <c r="A410" s="15">
        <f t="shared" si="50"/>
        <v>0</v>
      </c>
      <c r="B410" s="20">
        <v>43542</v>
      </c>
    </row>
    <row r="411" spans="1:2" x14ac:dyDescent="0.25">
      <c r="A411" s="15">
        <f t="shared" si="50"/>
        <v>0</v>
      </c>
      <c r="B411" s="20">
        <v>43543</v>
      </c>
    </row>
    <row r="412" spans="1:2" x14ac:dyDescent="0.25">
      <c r="A412" s="15">
        <f t="shared" si="50"/>
        <v>0</v>
      </c>
      <c r="B412" s="20">
        <v>43544</v>
      </c>
    </row>
    <row r="413" spans="1:2" x14ac:dyDescent="0.25">
      <c r="A413" s="15">
        <f t="shared" si="50"/>
        <v>0</v>
      </c>
      <c r="B413" s="20">
        <v>43545</v>
      </c>
    </row>
    <row r="414" spans="1:2" x14ac:dyDescent="0.25">
      <c r="A414" s="15">
        <f t="shared" si="50"/>
        <v>0</v>
      </c>
      <c r="B414" s="20">
        <v>43546</v>
      </c>
    </row>
    <row r="415" spans="1:2" x14ac:dyDescent="0.25">
      <c r="A415" s="15">
        <f t="shared" si="50"/>
        <v>0</v>
      </c>
      <c r="B415" s="20">
        <v>43547</v>
      </c>
    </row>
    <row r="416" spans="1:2" x14ac:dyDescent="0.25">
      <c r="A416" s="15">
        <f t="shared" si="50"/>
        <v>0</v>
      </c>
      <c r="B416" s="20">
        <v>43548</v>
      </c>
    </row>
    <row r="417" spans="1:2" x14ac:dyDescent="0.25">
      <c r="A417" s="15">
        <f t="shared" si="50"/>
        <v>0</v>
      </c>
      <c r="B417" s="20">
        <v>43549</v>
      </c>
    </row>
    <row r="418" spans="1:2" x14ac:dyDescent="0.25">
      <c r="A418" s="15">
        <f t="shared" si="50"/>
        <v>0</v>
      </c>
      <c r="B418" s="20">
        <v>43550</v>
      </c>
    </row>
    <row r="419" spans="1:2" x14ac:dyDescent="0.25">
      <c r="A419" s="15">
        <f t="shared" si="50"/>
        <v>0</v>
      </c>
      <c r="B419" s="20">
        <v>43551</v>
      </c>
    </row>
    <row r="420" spans="1:2" x14ac:dyDescent="0.25">
      <c r="A420" s="15">
        <f t="shared" si="50"/>
        <v>0</v>
      </c>
      <c r="B420" s="20">
        <v>43552</v>
      </c>
    </row>
    <row r="421" spans="1:2" x14ac:dyDescent="0.25">
      <c r="A421" s="15">
        <f t="shared" si="50"/>
        <v>0</v>
      </c>
      <c r="B421" s="20">
        <v>43553</v>
      </c>
    </row>
    <row r="422" spans="1:2" x14ac:dyDescent="0.25">
      <c r="A422" s="15">
        <f t="shared" si="50"/>
        <v>0</v>
      </c>
      <c r="B422" s="20">
        <v>43554</v>
      </c>
    </row>
    <row r="423" spans="1:2" x14ac:dyDescent="0.25">
      <c r="A423" s="15">
        <f t="shared" si="50"/>
        <v>0</v>
      </c>
      <c r="B423" s="20">
        <v>43555</v>
      </c>
    </row>
    <row r="424" spans="1:2" x14ac:dyDescent="0.25">
      <c r="A424" s="15">
        <f t="shared" si="50"/>
        <v>0</v>
      </c>
      <c r="B424" s="20">
        <v>43556</v>
      </c>
    </row>
    <row r="425" spans="1:2" x14ac:dyDescent="0.25">
      <c r="A425" s="15">
        <f t="shared" si="50"/>
        <v>0</v>
      </c>
      <c r="B425" s="20">
        <v>43557</v>
      </c>
    </row>
    <row r="426" spans="1:2" x14ac:dyDescent="0.25">
      <c r="A426" s="15">
        <f t="shared" si="50"/>
        <v>0</v>
      </c>
      <c r="B426" s="20">
        <v>43558</v>
      </c>
    </row>
    <row r="427" spans="1:2" x14ac:dyDescent="0.25">
      <c r="A427" s="15">
        <f t="shared" si="50"/>
        <v>0</v>
      </c>
      <c r="B427" s="20">
        <v>43559</v>
      </c>
    </row>
    <row r="428" spans="1:2" x14ac:dyDescent="0.25">
      <c r="A428" s="15">
        <f t="shared" si="50"/>
        <v>0</v>
      </c>
      <c r="B428" s="20">
        <v>43560</v>
      </c>
    </row>
    <row r="429" spans="1:2" x14ac:dyDescent="0.25">
      <c r="A429" s="15">
        <f t="shared" si="50"/>
        <v>0</v>
      </c>
      <c r="B429" s="20">
        <v>43561</v>
      </c>
    </row>
    <row r="430" spans="1:2" x14ac:dyDescent="0.25">
      <c r="A430" s="15">
        <f t="shared" si="50"/>
        <v>0</v>
      </c>
      <c r="B430" s="20">
        <v>43562</v>
      </c>
    </row>
    <row r="431" spans="1:2" x14ac:dyDescent="0.25">
      <c r="A431" s="15">
        <f t="shared" si="50"/>
        <v>0</v>
      </c>
      <c r="B431" s="20">
        <v>43563</v>
      </c>
    </row>
    <row r="432" spans="1:2" x14ac:dyDescent="0.25">
      <c r="A432" s="15">
        <f t="shared" ref="A432:A495" si="51">+AN432+AS414+AX408+BC393</f>
        <v>0</v>
      </c>
      <c r="B432" s="20">
        <v>43564</v>
      </c>
    </row>
    <row r="433" spans="1:2" x14ac:dyDescent="0.25">
      <c r="A433" s="15">
        <f t="shared" si="51"/>
        <v>0</v>
      </c>
      <c r="B433" s="20">
        <v>43565</v>
      </c>
    </row>
    <row r="434" spans="1:2" x14ac:dyDescent="0.25">
      <c r="A434" s="15">
        <f t="shared" si="51"/>
        <v>0</v>
      </c>
      <c r="B434" s="20">
        <v>43566</v>
      </c>
    </row>
    <row r="435" spans="1:2" x14ac:dyDescent="0.25">
      <c r="A435" s="15">
        <f t="shared" si="51"/>
        <v>0</v>
      </c>
      <c r="B435" s="20">
        <v>43567</v>
      </c>
    </row>
    <row r="436" spans="1:2" x14ac:dyDescent="0.25">
      <c r="A436" s="15">
        <f t="shared" si="51"/>
        <v>0</v>
      </c>
      <c r="B436" s="20">
        <v>43568</v>
      </c>
    </row>
    <row r="437" spans="1:2" x14ac:dyDescent="0.25">
      <c r="A437" s="15">
        <f t="shared" si="51"/>
        <v>0</v>
      </c>
      <c r="B437" s="20">
        <v>43569</v>
      </c>
    </row>
    <row r="438" spans="1:2" x14ac:dyDescent="0.25">
      <c r="A438" s="15">
        <f t="shared" si="51"/>
        <v>0</v>
      </c>
      <c r="B438" s="20">
        <v>43570</v>
      </c>
    </row>
    <row r="439" spans="1:2" x14ac:dyDescent="0.25">
      <c r="A439" s="15">
        <f t="shared" si="51"/>
        <v>0</v>
      </c>
      <c r="B439" s="20">
        <v>43571</v>
      </c>
    </row>
    <row r="440" spans="1:2" x14ac:dyDescent="0.25">
      <c r="A440" s="15">
        <f t="shared" si="51"/>
        <v>0</v>
      </c>
      <c r="B440" s="20">
        <v>43572</v>
      </c>
    </row>
    <row r="441" spans="1:2" x14ac:dyDescent="0.25">
      <c r="A441" s="15">
        <f t="shared" si="51"/>
        <v>0</v>
      </c>
      <c r="B441" s="20">
        <v>43573</v>
      </c>
    </row>
    <row r="442" spans="1:2" x14ac:dyDescent="0.25">
      <c r="A442" s="15">
        <f t="shared" si="51"/>
        <v>0</v>
      </c>
      <c r="B442" s="20">
        <v>43574</v>
      </c>
    </row>
    <row r="443" spans="1:2" x14ac:dyDescent="0.25">
      <c r="A443" s="15">
        <f t="shared" si="51"/>
        <v>0</v>
      </c>
      <c r="B443" s="20">
        <v>43575</v>
      </c>
    </row>
    <row r="444" spans="1:2" x14ac:dyDescent="0.25">
      <c r="A444" s="15">
        <f t="shared" si="51"/>
        <v>0</v>
      </c>
      <c r="B444" s="20">
        <v>43576</v>
      </c>
    </row>
    <row r="445" spans="1:2" x14ac:dyDescent="0.25">
      <c r="A445" s="15">
        <f t="shared" si="51"/>
        <v>0</v>
      </c>
      <c r="B445" s="20">
        <v>43577</v>
      </c>
    </row>
    <row r="446" spans="1:2" x14ac:dyDescent="0.25">
      <c r="A446" s="15">
        <f t="shared" si="51"/>
        <v>0</v>
      </c>
      <c r="B446" s="20">
        <v>43578</v>
      </c>
    </row>
    <row r="447" spans="1:2" x14ac:dyDescent="0.25">
      <c r="A447" s="15">
        <f t="shared" si="51"/>
        <v>0</v>
      </c>
      <c r="B447" s="20">
        <v>43579</v>
      </c>
    </row>
    <row r="448" spans="1:2" x14ac:dyDescent="0.25">
      <c r="A448" s="15">
        <f t="shared" si="51"/>
        <v>0</v>
      </c>
      <c r="B448" s="20">
        <v>43580</v>
      </c>
    </row>
    <row r="449" spans="1:2" x14ac:dyDescent="0.25">
      <c r="A449" s="15">
        <f t="shared" si="51"/>
        <v>0</v>
      </c>
      <c r="B449" s="20">
        <v>43581</v>
      </c>
    </row>
    <row r="450" spans="1:2" x14ac:dyDescent="0.25">
      <c r="A450" s="15">
        <f t="shared" si="51"/>
        <v>0</v>
      </c>
      <c r="B450" s="20">
        <v>43582</v>
      </c>
    </row>
    <row r="451" spans="1:2" x14ac:dyDescent="0.25">
      <c r="A451" s="15">
        <f t="shared" si="51"/>
        <v>0</v>
      </c>
      <c r="B451" s="20">
        <v>43583</v>
      </c>
    </row>
    <row r="452" spans="1:2" x14ac:dyDescent="0.25">
      <c r="A452" s="15">
        <f t="shared" si="51"/>
        <v>0</v>
      </c>
      <c r="B452" s="20">
        <v>43584</v>
      </c>
    </row>
    <row r="453" spans="1:2" x14ac:dyDescent="0.25">
      <c r="A453" s="15">
        <f t="shared" si="51"/>
        <v>0</v>
      </c>
      <c r="B453" s="20">
        <v>43585</v>
      </c>
    </row>
    <row r="454" spans="1:2" x14ac:dyDescent="0.25">
      <c r="A454" s="15">
        <f t="shared" si="51"/>
        <v>0</v>
      </c>
      <c r="B454" s="20">
        <v>43586</v>
      </c>
    </row>
    <row r="455" spans="1:2" x14ac:dyDescent="0.25">
      <c r="A455" s="15">
        <f t="shared" si="51"/>
        <v>0</v>
      </c>
      <c r="B455" s="20">
        <v>43587</v>
      </c>
    </row>
    <row r="456" spans="1:2" x14ac:dyDescent="0.25">
      <c r="A456" s="15">
        <f t="shared" si="51"/>
        <v>0</v>
      </c>
      <c r="B456" s="20">
        <v>43588</v>
      </c>
    </row>
    <row r="457" spans="1:2" x14ac:dyDescent="0.25">
      <c r="A457" s="15">
        <f t="shared" si="51"/>
        <v>0</v>
      </c>
      <c r="B457" s="20">
        <v>43589</v>
      </c>
    </row>
    <row r="458" spans="1:2" x14ac:dyDescent="0.25">
      <c r="A458" s="15">
        <f t="shared" si="51"/>
        <v>0</v>
      </c>
      <c r="B458" s="20">
        <v>43590</v>
      </c>
    </row>
    <row r="459" spans="1:2" x14ac:dyDescent="0.25">
      <c r="A459" s="15">
        <f t="shared" si="51"/>
        <v>0</v>
      </c>
      <c r="B459" s="20">
        <v>43591</v>
      </c>
    </row>
    <row r="460" spans="1:2" x14ac:dyDescent="0.25">
      <c r="A460" s="15">
        <f t="shared" si="51"/>
        <v>0</v>
      </c>
      <c r="B460" s="20">
        <v>43592</v>
      </c>
    </row>
    <row r="461" spans="1:2" x14ac:dyDescent="0.25">
      <c r="A461" s="15">
        <f t="shared" si="51"/>
        <v>0</v>
      </c>
      <c r="B461" s="20">
        <v>43593</v>
      </c>
    </row>
    <row r="462" spans="1:2" x14ac:dyDescent="0.25">
      <c r="A462" s="15">
        <f t="shared" si="51"/>
        <v>0</v>
      </c>
      <c r="B462" s="20">
        <v>43594</v>
      </c>
    </row>
    <row r="463" spans="1:2" x14ac:dyDescent="0.25">
      <c r="A463" s="15">
        <f t="shared" si="51"/>
        <v>0</v>
      </c>
      <c r="B463" s="20">
        <v>43595</v>
      </c>
    </row>
    <row r="464" spans="1:2" x14ac:dyDescent="0.25">
      <c r="A464" s="15">
        <f t="shared" si="51"/>
        <v>0</v>
      </c>
      <c r="B464" s="20">
        <v>43596</v>
      </c>
    </row>
    <row r="465" spans="1:2" x14ac:dyDescent="0.25">
      <c r="A465" s="15">
        <f t="shared" si="51"/>
        <v>0</v>
      </c>
      <c r="B465" s="20">
        <v>43597</v>
      </c>
    </row>
    <row r="466" spans="1:2" x14ac:dyDescent="0.25">
      <c r="A466" s="15">
        <f t="shared" si="51"/>
        <v>0</v>
      </c>
      <c r="B466" s="20">
        <v>43598</v>
      </c>
    </row>
    <row r="467" spans="1:2" x14ac:dyDescent="0.25">
      <c r="A467" s="15">
        <f t="shared" si="51"/>
        <v>0</v>
      </c>
      <c r="B467" s="20">
        <v>43599</v>
      </c>
    </row>
    <row r="468" spans="1:2" x14ac:dyDescent="0.25">
      <c r="A468" s="15">
        <f t="shared" si="51"/>
        <v>0</v>
      </c>
      <c r="B468" s="20">
        <v>43600</v>
      </c>
    </row>
    <row r="469" spans="1:2" x14ac:dyDescent="0.25">
      <c r="A469" s="15">
        <f t="shared" si="51"/>
        <v>0</v>
      </c>
      <c r="B469" s="20">
        <v>43601</v>
      </c>
    </row>
    <row r="470" spans="1:2" x14ac:dyDescent="0.25">
      <c r="A470" s="15">
        <f t="shared" si="51"/>
        <v>0</v>
      </c>
      <c r="B470" s="20">
        <v>43602</v>
      </c>
    </row>
    <row r="471" spans="1:2" x14ac:dyDescent="0.25">
      <c r="A471" s="15">
        <f t="shared" si="51"/>
        <v>0</v>
      </c>
      <c r="B471" s="20">
        <v>43603</v>
      </c>
    </row>
    <row r="472" spans="1:2" x14ac:dyDescent="0.25">
      <c r="A472" s="15">
        <f t="shared" si="51"/>
        <v>0</v>
      </c>
      <c r="B472" s="20">
        <v>43604</v>
      </c>
    </row>
    <row r="473" spans="1:2" x14ac:dyDescent="0.25">
      <c r="A473" s="15">
        <f t="shared" si="51"/>
        <v>0</v>
      </c>
      <c r="B473" s="20">
        <v>43605</v>
      </c>
    </row>
    <row r="474" spans="1:2" x14ac:dyDescent="0.25">
      <c r="A474" s="15">
        <f t="shared" si="51"/>
        <v>0</v>
      </c>
      <c r="B474" s="20">
        <v>43606</v>
      </c>
    </row>
    <row r="475" spans="1:2" x14ac:dyDescent="0.25">
      <c r="A475" s="15">
        <f t="shared" si="51"/>
        <v>0</v>
      </c>
      <c r="B475" s="20">
        <v>43607</v>
      </c>
    </row>
    <row r="476" spans="1:2" x14ac:dyDescent="0.25">
      <c r="A476" s="15">
        <f t="shared" si="51"/>
        <v>0</v>
      </c>
      <c r="B476" s="20">
        <v>43608</v>
      </c>
    </row>
    <row r="477" spans="1:2" x14ac:dyDescent="0.25">
      <c r="A477" s="15">
        <f t="shared" si="51"/>
        <v>0</v>
      </c>
      <c r="B477" s="20">
        <v>43609</v>
      </c>
    </row>
    <row r="478" spans="1:2" x14ac:dyDescent="0.25">
      <c r="A478" s="15">
        <f t="shared" si="51"/>
        <v>0</v>
      </c>
      <c r="B478" s="20">
        <v>43610</v>
      </c>
    </row>
    <row r="479" spans="1:2" x14ac:dyDescent="0.25">
      <c r="A479" s="15">
        <f t="shared" si="51"/>
        <v>0</v>
      </c>
      <c r="B479" s="20">
        <v>43611</v>
      </c>
    </row>
    <row r="480" spans="1:2" x14ac:dyDescent="0.25">
      <c r="A480" s="15">
        <f t="shared" si="51"/>
        <v>0</v>
      </c>
      <c r="B480" s="20">
        <v>43612</v>
      </c>
    </row>
    <row r="481" spans="1:2" x14ac:dyDescent="0.25">
      <c r="A481" s="15">
        <f t="shared" si="51"/>
        <v>0</v>
      </c>
      <c r="B481" s="20">
        <v>43613</v>
      </c>
    </row>
    <row r="482" spans="1:2" x14ac:dyDescent="0.25">
      <c r="A482" s="15">
        <f t="shared" si="51"/>
        <v>0</v>
      </c>
      <c r="B482" s="20">
        <v>43614</v>
      </c>
    </row>
    <row r="483" spans="1:2" x14ac:dyDescent="0.25">
      <c r="A483" s="15">
        <f t="shared" si="51"/>
        <v>0</v>
      </c>
      <c r="B483" s="20">
        <v>43615</v>
      </c>
    </row>
    <row r="484" spans="1:2" x14ac:dyDescent="0.25">
      <c r="A484" s="15">
        <f t="shared" si="51"/>
        <v>0</v>
      </c>
      <c r="B484" s="20">
        <v>43616</v>
      </c>
    </row>
    <row r="485" spans="1:2" x14ac:dyDescent="0.25">
      <c r="A485" s="15">
        <f t="shared" si="51"/>
        <v>0</v>
      </c>
      <c r="B485" s="20">
        <v>43617</v>
      </c>
    </row>
    <row r="486" spans="1:2" x14ac:dyDescent="0.25">
      <c r="A486" s="15">
        <f t="shared" si="51"/>
        <v>0</v>
      </c>
      <c r="B486" s="20">
        <v>43618</v>
      </c>
    </row>
    <row r="487" spans="1:2" x14ac:dyDescent="0.25">
      <c r="A487" s="15">
        <f t="shared" si="51"/>
        <v>0</v>
      </c>
      <c r="B487" s="20">
        <v>43619</v>
      </c>
    </row>
    <row r="488" spans="1:2" x14ac:dyDescent="0.25">
      <c r="A488" s="15">
        <f t="shared" si="51"/>
        <v>0</v>
      </c>
      <c r="B488" s="20">
        <v>43620</v>
      </c>
    </row>
    <row r="489" spans="1:2" x14ac:dyDescent="0.25">
      <c r="A489" s="15">
        <f t="shared" si="51"/>
        <v>0</v>
      </c>
      <c r="B489" s="20">
        <v>43621</v>
      </c>
    </row>
    <row r="490" spans="1:2" x14ac:dyDescent="0.25">
      <c r="A490" s="15">
        <f t="shared" si="51"/>
        <v>0</v>
      </c>
      <c r="B490" s="20">
        <v>43622</v>
      </c>
    </row>
    <row r="491" spans="1:2" x14ac:dyDescent="0.25">
      <c r="A491" s="15">
        <f t="shared" si="51"/>
        <v>0</v>
      </c>
      <c r="B491" s="20">
        <v>43623</v>
      </c>
    </row>
    <row r="492" spans="1:2" x14ac:dyDescent="0.25">
      <c r="A492" s="15">
        <f t="shared" si="51"/>
        <v>0</v>
      </c>
      <c r="B492" s="20">
        <v>43624</v>
      </c>
    </row>
    <row r="493" spans="1:2" x14ac:dyDescent="0.25">
      <c r="A493" s="15">
        <f t="shared" si="51"/>
        <v>0</v>
      </c>
      <c r="B493" s="20">
        <v>43625</v>
      </c>
    </row>
    <row r="494" spans="1:2" x14ac:dyDescent="0.25">
      <c r="A494" s="15">
        <f t="shared" si="51"/>
        <v>0</v>
      </c>
      <c r="B494" s="20">
        <v>43626</v>
      </c>
    </row>
    <row r="495" spans="1:2" x14ac:dyDescent="0.25">
      <c r="A495" s="15">
        <f t="shared" si="51"/>
        <v>0</v>
      </c>
      <c r="B495" s="20">
        <v>43627</v>
      </c>
    </row>
    <row r="496" spans="1:2" x14ac:dyDescent="0.25">
      <c r="A496" s="15">
        <f t="shared" ref="A496:A559" si="52">+AN496+AS478+AX472+BC457</f>
        <v>0</v>
      </c>
      <c r="B496" s="20">
        <v>43628</v>
      </c>
    </row>
    <row r="497" spans="1:2" x14ac:dyDescent="0.25">
      <c r="A497" s="15">
        <f t="shared" si="52"/>
        <v>0</v>
      </c>
      <c r="B497" s="20">
        <v>43629</v>
      </c>
    </row>
    <row r="498" spans="1:2" x14ac:dyDescent="0.25">
      <c r="A498" s="15">
        <f t="shared" si="52"/>
        <v>0</v>
      </c>
      <c r="B498" s="20">
        <v>43630</v>
      </c>
    </row>
    <row r="499" spans="1:2" x14ac:dyDescent="0.25">
      <c r="A499" s="15">
        <f t="shared" si="52"/>
        <v>0</v>
      </c>
      <c r="B499" s="20">
        <v>43631</v>
      </c>
    </row>
    <row r="500" spans="1:2" x14ac:dyDescent="0.25">
      <c r="A500" s="15">
        <f t="shared" si="52"/>
        <v>0</v>
      </c>
      <c r="B500" s="20">
        <v>43632</v>
      </c>
    </row>
    <row r="501" spans="1:2" x14ac:dyDescent="0.25">
      <c r="A501" s="15">
        <f t="shared" si="52"/>
        <v>0</v>
      </c>
      <c r="B501" s="20">
        <v>43633</v>
      </c>
    </row>
    <row r="502" spans="1:2" x14ac:dyDescent="0.25">
      <c r="A502" s="15">
        <f t="shared" si="52"/>
        <v>0</v>
      </c>
      <c r="B502" s="20">
        <v>43634</v>
      </c>
    </row>
    <row r="503" spans="1:2" x14ac:dyDescent="0.25">
      <c r="A503" s="15">
        <f t="shared" si="52"/>
        <v>0</v>
      </c>
      <c r="B503" s="20">
        <v>43635</v>
      </c>
    </row>
    <row r="504" spans="1:2" x14ac:dyDescent="0.25">
      <c r="A504" s="15">
        <f t="shared" si="52"/>
        <v>0</v>
      </c>
      <c r="B504" s="20">
        <v>43636</v>
      </c>
    </row>
    <row r="505" spans="1:2" x14ac:dyDescent="0.25">
      <c r="A505" s="15">
        <f t="shared" si="52"/>
        <v>0</v>
      </c>
      <c r="B505" s="20">
        <v>43637</v>
      </c>
    </row>
    <row r="506" spans="1:2" x14ac:dyDescent="0.25">
      <c r="A506" s="15">
        <f t="shared" si="52"/>
        <v>0</v>
      </c>
      <c r="B506" s="20">
        <v>43638</v>
      </c>
    </row>
    <row r="507" spans="1:2" x14ac:dyDescent="0.25">
      <c r="A507" s="15">
        <f t="shared" si="52"/>
        <v>0</v>
      </c>
      <c r="B507" s="20">
        <v>43639</v>
      </c>
    </row>
    <row r="508" spans="1:2" x14ac:dyDescent="0.25">
      <c r="A508" s="15">
        <f t="shared" si="52"/>
        <v>0</v>
      </c>
      <c r="B508" s="20">
        <v>43640</v>
      </c>
    </row>
    <row r="509" spans="1:2" x14ac:dyDescent="0.25">
      <c r="A509" s="15">
        <f t="shared" si="52"/>
        <v>0</v>
      </c>
      <c r="B509" s="20">
        <v>43641</v>
      </c>
    </row>
    <row r="510" spans="1:2" x14ac:dyDescent="0.25">
      <c r="A510" s="15">
        <f t="shared" si="52"/>
        <v>0</v>
      </c>
      <c r="B510" s="20">
        <v>43642</v>
      </c>
    </row>
    <row r="511" spans="1:2" x14ac:dyDescent="0.25">
      <c r="A511" s="15">
        <f t="shared" si="52"/>
        <v>0</v>
      </c>
      <c r="B511" s="20">
        <v>43643</v>
      </c>
    </row>
    <row r="512" spans="1:2" x14ac:dyDescent="0.25">
      <c r="A512" s="15">
        <f t="shared" si="52"/>
        <v>0</v>
      </c>
      <c r="B512" s="20">
        <v>43644</v>
      </c>
    </row>
    <row r="513" spans="1:2" x14ac:dyDescent="0.25">
      <c r="A513" s="15">
        <f t="shared" si="52"/>
        <v>0</v>
      </c>
      <c r="B513" s="20">
        <v>43645</v>
      </c>
    </row>
    <row r="514" spans="1:2" x14ac:dyDescent="0.25">
      <c r="A514" s="15">
        <f t="shared" si="52"/>
        <v>0</v>
      </c>
      <c r="B514" s="20">
        <v>43646</v>
      </c>
    </row>
    <row r="515" spans="1:2" x14ac:dyDescent="0.25">
      <c r="A515" s="15">
        <f t="shared" si="52"/>
        <v>0</v>
      </c>
      <c r="B515" s="20">
        <v>43647</v>
      </c>
    </row>
    <row r="516" spans="1:2" x14ac:dyDescent="0.25">
      <c r="A516" s="15">
        <f t="shared" si="52"/>
        <v>0</v>
      </c>
      <c r="B516" s="20">
        <v>43648</v>
      </c>
    </row>
    <row r="517" spans="1:2" x14ac:dyDescent="0.25">
      <c r="A517" s="15">
        <f t="shared" si="52"/>
        <v>0</v>
      </c>
      <c r="B517" s="20">
        <v>43649</v>
      </c>
    </row>
    <row r="518" spans="1:2" x14ac:dyDescent="0.25">
      <c r="A518" s="15">
        <f t="shared" si="52"/>
        <v>0</v>
      </c>
      <c r="B518" s="20">
        <v>43650</v>
      </c>
    </row>
    <row r="519" spans="1:2" x14ac:dyDescent="0.25">
      <c r="A519" s="15">
        <f t="shared" si="52"/>
        <v>0</v>
      </c>
      <c r="B519" s="20">
        <v>43651</v>
      </c>
    </row>
    <row r="520" spans="1:2" x14ac:dyDescent="0.25">
      <c r="A520" s="15">
        <f t="shared" si="52"/>
        <v>0</v>
      </c>
      <c r="B520" s="20">
        <v>43652</v>
      </c>
    </row>
    <row r="521" spans="1:2" x14ac:dyDescent="0.25">
      <c r="A521" s="15">
        <f t="shared" si="52"/>
        <v>0</v>
      </c>
      <c r="B521" s="20">
        <v>43653</v>
      </c>
    </row>
    <row r="522" spans="1:2" x14ac:dyDescent="0.25">
      <c r="A522" s="15">
        <f t="shared" si="52"/>
        <v>0</v>
      </c>
      <c r="B522" s="20">
        <v>43654</v>
      </c>
    </row>
    <row r="523" spans="1:2" x14ac:dyDescent="0.25">
      <c r="A523" s="15">
        <f t="shared" si="52"/>
        <v>0</v>
      </c>
      <c r="B523" s="20">
        <v>43655</v>
      </c>
    </row>
    <row r="524" spans="1:2" x14ac:dyDescent="0.25">
      <c r="A524" s="15">
        <f t="shared" si="52"/>
        <v>0</v>
      </c>
      <c r="B524" s="20">
        <v>43656</v>
      </c>
    </row>
    <row r="525" spans="1:2" x14ac:dyDescent="0.25">
      <c r="A525" s="15">
        <f t="shared" si="52"/>
        <v>0</v>
      </c>
      <c r="B525" s="20">
        <v>43657</v>
      </c>
    </row>
    <row r="526" spans="1:2" x14ac:dyDescent="0.25">
      <c r="A526" s="15">
        <f t="shared" si="52"/>
        <v>0</v>
      </c>
      <c r="B526" s="20">
        <v>43658</v>
      </c>
    </row>
    <row r="527" spans="1:2" x14ac:dyDescent="0.25">
      <c r="A527" s="15">
        <f t="shared" si="52"/>
        <v>0</v>
      </c>
      <c r="B527" s="20">
        <v>43659</v>
      </c>
    </row>
    <row r="528" spans="1:2" x14ac:dyDescent="0.25">
      <c r="A528" s="15">
        <f t="shared" si="52"/>
        <v>0</v>
      </c>
      <c r="B528" s="20">
        <v>43660</v>
      </c>
    </row>
    <row r="529" spans="1:2" x14ac:dyDescent="0.25">
      <c r="A529" s="15">
        <f t="shared" si="52"/>
        <v>0</v>
      </c>
      <c r="B529" s="20">
        <v>43661</v>
      </c>
    </row>
    <row r="530" spans="1:2" x14ac:dyDescent="0.25">
      <c r="A530" s="15">
        <f t="shared" si="52"/>
        <v>0</v>
      </c>
      <c r="B530" s="20">
        <v>43662</v>
      </c>
    </row>
    <row r="531" spans="1:2" x14ac:dyDescent="0.25">
      <c r="A531" s="15">
        <f t="shared" si="52"/>
        <v>0</v>
      </c>
      <c r="B531" s="20">
        <v>43663</v>
      </c>
    </row>
    <row r="532" spans="1:2" x14ac:dyDescent="0.25">
      <c r="A532" s="15">
        <f t="shared" si="52"/>
        <v>0</v>
      </c>
      <c r="B532" s="20">
        <v>43664</v>
      </c>
    </row>
    <row r="533" spans="1:2" x14ac:dyDescent="0.25">
      <c r="A533" s="15">
        <f t="shared" si="52"/>
        <v>0</v>
      </c>
      <c r="B533" s="20">
        <v>43665</v>
      </c>
    </row>
    <row r="534" spans="1:2" x14ac:dyDescent="0.25">
      <c r="A534" s="15">
        <f t="shared" si="52"/>
        <v>0</v>
      </c>
      <c r="B534" s="20">
        <v>43666</v>
      </c>
    </row>
    <row r="535" spans="1:2" x14ac:dyDescent="0.25">
      <c r="A535" s="15">
        <f t="shared" si="52"/>
        <v>0</v>
      </c>
      <c r="B535" s="20">
        <v>43667</v>
      </c>
    </row>
    <row r="536" spans="1:2" x14ac:dyDescent="0.25">
      <c r="A536" s="15">
        <f t="shared" si="52"/>
        <v>0</v>
      </c>
      <c r="B536" s="20">
        <v>43668</v>
      </c>
    </row>
    <row r="537" spans="1:2" x14ac:dyDescent="0.25">
      <c r="A537" s="15">
        <f t="shared" si="52"/>
        <v>0</v>
      </c>
      <c r="B537" s="20">
        <v>43669</v>
      </c>
    </row>
    <row r="538" spans="1:2" x14ac:dyDescent="0.25">
      <c r="A538" s="15">
        <f t="shared" si="52"/>
        <v>0</v>
      </c>
      <c r="B538" s="20">
        <v>43670</v>
      </c>
    </row>
    <row r="539" spans="1:2" x14ac:dyDescent="0.25">
      <c r="A539" s="15">
        <f t="shared" si="52"/>
        <v>0</v>
      </c>
      <c r="B539" s="20">
        <v>43671</v>
      </c>
    </row>
    <row r="540" spans="1:2" x14ac:dyDescent="0.25">
      <c r="A540" s="15">
        <f t="shared" si="52"/>
        <v>0</v>
      </c>
      <c r="B540" s="20">
        <v>43672</v>
      </c>
    </row>
    <row r="541" spans="1:2" x14ac:dyDescent="0.25">
      <c r="A541" s="15">
        <f t="shared" si="52"/>
        <v>0</v>
      </c>
      <c r="B541" s="20">
        <v>43673</v>
      </c>
    </row>
    <row r="542" spans="1:2" x14ac:dyDescent="0.25">
      <c r="A542" s="15">
        <f t="shared" si="52"/>
        <v>0</v>
      </c>
      <c r="B542" s="20">
        <v>43674</v>
      </c>
    </row>
    <row r="543" spans="1:2" x14ac:dyDescent="0.25">
      <c r="A543" s="15">
        <f t="shared" si="52"/>
        <v>0</v>
      </c>
      <c r="B543" s="20">
        <v>43675</v>
      </c>
    </row>
    <row r="544" spans="1:2" x14ac:dyDescent="0.25">
      <c r="A544" s="15">
        <f t="shared" si="52"/>
        <v>0</v>
      </c>
      <c r="B544" s="20">
        <v>43676</v>
      </c>
    </row>
    <row r="545" spans="1:2" x14ac:dyDescent="0.25">
      <c r="A545" s="15">
        <f t="shared" si="52"/>
        <v>0</v>
      </c>
      <c r="B545" s="20">
        <v>43677</v>
      </c>
    </row>
    <row r="546" spans="1:2" x14ac:dyDescent="0.25">
      <c r="A546" s="15">
        <f t="shared" si="52"/>
        <v>0</v>
      </c>
      <c r="B546" s="20">
        <v>43678</v>
      </c>
    </row>
    <row r="547" spans="1:2" x14ac:dyDescent="0.25">
      <c r="A547" s="15">
        <f t="shared" si="52"/>
        <v>0</v>
      </c>
      <c r="B547" s="20">
        <v>43679</v>
      </c>
    </row>
    <row r="548" spans="1:2" x14ac:dyDescent="0.25">
      <c r="A548" s="15">
        <f t="shared" si="52"/>
        <v>0</v>
      </c>
      <c r="B548" s="20">
        <v>43680</v>
      </c>
    </row>
    <row r="549" spans="1:2" x14ac:dyDescent="0.25">
      <c r="A549" s="15">
        <f t="shared" si="52"/>
        <v>0</v>
      </c>
      <c r="B549" s="20">
        <v>43681</v>
      </c>
    </row>
    <row r="550" spans="1:2" x14ac:dyDescent="0.25">
      <c r="A550" s="15">
        <f t="shared" si="52"/>
        <v>0</v>
      </c>
      <c r="B550" s="20">
        <v>43682</v>
      </c>
    </row>
    <row r="551" spans="1:2" x14ac:dyDescent="0.25">
      <c r="A551" s="15">
        <f t="shared" si="52"/>
        <v>0</v>
      </c>
      <c r="B551" s="20">
        <v>43683</v>
      </c>
    </row>
    <row r="552" spans="1:2" x14ac:dyDescent="0.25">
      <c r="A552" s="15">
        <f t="shared" si="52"/>
        <v>0</v>
      </c>
      <c r="B552" s="20">
        <v>43684</v>
      </c>
    </row>
    <row r="553" spans="1:2" x14ac:dyDescent="0.25">
      <c r="A553" s="15">
        <f t="shared" si="52"/>
        <v>0</v>
      </c>
      <c r="B553" s="20">
        <v>43685</v>
      </c>
    </row>
    <row r="554" spans="1:2" x14ac:dyDescent="0.25">
      <c r="A554" s="15">
        <f t="shared" si="52"/>
        <v>0</v>
      </c>
      <c r="B554" s="20">
        <v>43686</v>
      </c>
    </row>
    <row r="555" spans="1:2" x14ac:dyDescent="0.25">
      <c r="A555" s="15">
        <f t="shared" si="52"/>
        <v>0</v>
      </c>
      <c r="B555" s="20">
        <v>43687</v>
      </c>
    </row>
    <row r="556" spans="1:2" x14ac:dyDescent="0.25">
      <c r="A556" s="15">
        <f t="shared" si="52"/>
        <v>0</v>
      </c>
      <c r="B556" s="20">
        <v>43688</v>
      </c>
    </row>
    <row r="557" spans="1:2" x14ac:dyDescent="0.25">
      <c r="A557" s="15">
        <f t="shared" si="52"/>
        <v>0</v>
      </c>
      <c r="B557" s="20">
        <v>43689</v>
      </c>
    </row>
    <row r="558" spans="1:2" x14ac:dyDescent="0.25">
      <c r="A558" s="15">
        <f t="shared" si="52"/>
        <v>0</v>
      </c>
      <c r="B558" s="20">
        <v>43690</v>
      </c>
    </row>
    <row r="559" spans="1:2" x14ac:dyDescent="0.25">
      <c r="A559" s="15">
        <f t="shared" si="52"/>
        <v>0</v>
      </c>
      <c r="B559" s="20">
        <v>43691</v>
      </c>
    </row>
    <row r="560" spans="1:2" x14ac:dyDescent="0.25">
      <c r="A560" s="15">
        <f t="shared" ref="A560:A598" si="53">+AN560+AS542+AX536+BC521</f>
        <v>0</v>
      </c>
      <c r="B560" s="20">
        <v>43692</v>
      </c>
    </row>
    <row r="561" spans="1:2" x14ac:dyDescent="0.25">
      <c r="A561" s="15">
        <f t="shared" si="53"/>
        <v>0</v>
      </c>
      <c r="B561" s="20">
        <v>43693</v>
      </c>
    </row>
    <row r="562" spans="1:2" x14ac:dyDescent="0.25">
      <c r="A562" s="15">
        <f t="shared" si="53"/>
        <v>0</v>
      </c>
      <c r="B562" s="20">
        <v>43694</v>
      </c>
    </row>
    <row r="563" spans="1:2" x14ac:dyDescent="0.25">
      <c r="A563" s="15">
        <f t="shared" si="53"/>
        <v>0</v>
      </c>
      <c r="B563" s="20">
        <v>43695</v>
      </c>
    </row>
    <row r="564" spans="1:2" x14ac:dyDescent="0.25">
      <c r="A564" s="15">
        <f t="shared" si="53"/>
        <v>0</v>
      </c>
      <c r="B564" s="20">
        <v>43696</v>
      </c>
    </row>
    <row r="565" spans="1:2" x14ac:dyDescent="0.25">
      <c r="A565" s="15">
        <f t="shared" si="53"/>
        <v>0</v>
      </c>
      <c r="B565" s="20">
        <v>43697</v>
      </c>
    </row>
    <row r="566" spans="1:2" x14ac:dyDescent="0.25">
      <c r="A566" s="15">
        <f t="shared" si="53"/>
        <v>0</v>
      </c>
      <c r="B566" s="20">
        <v>43698</v>
      </c>
    </row>
    <row r="567" spans="1:2" x14ac:dyDescent="0.25">
      <c r="A567" s="15">
        <f t="shared" si="53"/>
        <v>0</v>
      </c>
      <c r="B567" s="20">
        <v>43699</v>
      </c>
    </row>
    <row r="568" spans="1:2" x14ac:dyDescent="0.25">
      <c r="A568" s="15">
        <f t="shared" si="53"/>
        <v>0</v>
      </c>
      <c r="B568" s="20">
        <v>43700</v>
      </c>
    </row>
    <row r="569" spans="1:2" x14ac:dyDescent="0.25">
      <c r="A569" s="15">
        <f t="shared" si="53"/>
        <v>0</v>
      </c>
      <c r="B569" s="20">
        <v>43701</v>
      </c>
    </row>
    <row r="570" spans="1:2" x14ac:dyDescent="0.25">
      <c r="A570" s="15">
        <f t="shared" si="53"/>
        <v>0</v>
      </c>
      <c r="B570" s="20">
        <v>43702</v>
      </c>
    </row>
    <row r="571" spans="1:2" x14ac:dyDescent="0.25">
      <c r="A571" s="15">
        <f t="shared" si="53"/>
        <v>0</v>
      </c>
      <c r="B571" s="20">
        <v>43703</v>
      </c>
    </row>
    <row r="572" spans="1:2" x14ac:dyDescent="0.25">
      <c r="A572" s="15">
        <f t="shared" si="53"/>
        <v>0</v>
      </c>
      <c r="B572" s="20">
        <v>43704</v>
      </c>
    </row>
    <row r="573" spans="1:2" x14ac:dyDescent="0.25">
      <c r="A573" s="15">
        <f t="shared" si="53"/>
        <v>0</v>
      </c>
      <c r="B573" s="20">
        <v>43705</v>
      </c>
    </row>
    <row r="574" spans="1:2" x14ac:dyDescent="0.25">
      <c r="A574" s="15">
        <f t="shared" si="53"/>
        <v>0</v>
      </c>
      <c r="B574" s="20">
        <v>43706</v>
      </c>
    </row>
    <row r="575" spans="1:2" x14ac:dyDescent="0.25">
      <c r="A575" s="15">
        <f t="shared" si="53"/>
        <v>0</v>
      </c>
      <c r="B575" s="20">
        <v>43707</v>
      </c>
    </row>
    <row r="576" spans="1:2" x14ac:dyDescent="0.25">
      <c r="A576" s="15">
        <f t="shared" si="53"/>
        <v>0</v>
      </c>
      <c r="B576" s="20">
        <v>43708</v>
      </c>
    </row>
    <row r="577" spans="1:2" x14ac:dyDescent="0.25">
      <c r="A577" s="15">
        <f t="shared" si="53"/>
        <v>0</v>
      </c>
      <c r="B577" s="20">
        <v>43709</v>
      </c>
    </row>
    <row r="578" spans="1:2" x14ac:dyDescent="0.25">
      <c r="A578" s="15">
        <f t="shared" si="53"/>
        <v>0</v>
      </c>
      <c r="B578" s="20">
        <v>43710</v>
      </c>
    </row>
    <row r="579" spans="1:2" x14ac:dyDescent="0.25">
      <c r="A579" s="15">
        <f t="shared" si="53"/>
        <v>0</v>
      </c>
      <c r="B579" s="20">
        <v>43711</v>
      </c>
    </row>
    <row r="580" spans="1:2" x14ac:dyDescent="0.25">
      <c r="A580" s="15">
        <f t="shared" si="53"/>
        <v>0</v>
      </c>
      <c r="B580" s="20">
        <v>43712</v>
      </c>
    </row>
    <row r="581" spans="1:2" x14ac:dyDescent="0.25">
      <c r="A581" s="15">
        <f t="shared" si="53"/>
        <v>0</v>
      </c>
      <c r="B581" s="20">
        <v>43713</v>
      </c>
    </row>
    <row r="582" spans="1:2" x14ac:dyDescent="0.25">
      <c r="A582" s="15">
        <f t="shared" si="53"/>
        <v>0</v>
      </c>
      <c r="B582" s="20">
        <v>43714</v>
      </c>
    </row>
    <row r="583" spans="1:2" x14ac:dyDescent="0.25">
      <c r="A583" s="15">
        <f t="shared" si="53"/>
        <v>0</v>
      </c>
      <c r="B583" s="20">
        <v>43715</v>
      </c>
    </row>
    <row r="584" spans="1:2" x14ac:dyDescent="0.25">
      <c r="A584" s="15">
        <f t="shared" si="53"/>
        <v>0</v>
      </c>
      <c r="B584" s="20">
        <v>43716</v>
      </c>
    </row>
    <row r="585" spans="1:2" x14ac:dyDescent="0.25">
      <c r="A585" s="15">
        <f t="shared" si="53"/>
        <v>0</v>
      </c>
      <c r="B585" s="20">
        <v>43717</v>
      </c>
    </row>
    <row r="586" spans="1:2" x14ac:dyDescent="0.25">
      <c r="A586" s="15">
        <f t="shared" si="53"/>
        <v>0</v>
      </c>
      <c r="B586" s="20">
        <v>43718</v>
      </c>
    </row>
    <row r="587" spans="1:2" x14ac:dyDescent="0.25">
      <c r="A587" s="15">
        <f t="shared" si="53"/>
        <v>0</v>
      </c>
      <c r="B587" s="20">
        <v>43719</v>
      </c>
    </row>
    <row r="588" spans="1:2" x14ac:dyDescent="0.25">
      <c r="A588" s="15">
        <f t="shared" si="53"/>
        <v>0</v>
      </c>
      <c r="B588" s="20">
        <v>43720</v>
      </c>
    </row>
    <row r="589" spans="1:2" x14ac:dyDescent="0.25">
      <c r="A589" s="15">
        <f t="shared" si="53"/>
        <v>0</v>
      </c>
      <c r="B589" s="20">
        <v>43721</v>
      </c>
    </row>
    <row r="590" spans="1:2" x14ac:dyDescent="0.25">
      <c r="A590" s="15">
        <f t="shared" si="53"/>
        <v>0</v>
      </c>
      <c r="B590" s="20">
        <v>43722</v>
      </c>
    </row>
    <row r="591" spans="1:2" x14ac:dyDescent="0.25">
      <c r="A591" s="15">
        <f t="shared" si="53"/>
        <v>0</v>
      </c>
      <c r="B591" s="20">
        <v>43723</v>
      </c>
    </row>
    <row r="592" spans="1:2" x14ac:dyDescent="0.25">
      <c r="A592" s="15">
        <f t="shared" si="53"/>
        <v>0</v>
      </c>
      <c r="B592" s="20">
        <v>43724</v>
      </c>
    </row>
    <row r="593" spans="1:2" x14ac:dyDescent="0.25">
      <c r="A593" s="15">
        <f t="shared" si="53"/>
        <v>0</v>
      </c>
      <c r="B593" s="20">
        <v>43725</v>
      </c>
    </row>
    <row r="594" spans="1:2" x14ac:dyDescent="0.25">
      <c r="A594" s="15">
        <f t="shared" si="53"/>
        <v>0</v>
      </c>
      <c r="B594" s="20">
        <v>43726</v>
      </c>
    </row>
    <row r="595" spans="1:2" x14ac:dyDescent="0.25">
      <c r="A595" s="15">
        <f t="shared" si="53"/>
        <v>0</v>
      </c>
      <c r="B595" s="20">
        <v>43727</v>
      </c>
    </row>
    <row r="596" spans="1:2" x14ac:dyDescent="0.25">
      <c r="A596" s="15">
        <f t="shared" si="53"/>
        <v>0</v>
      </c>
      <c r="B596" s="20">
        <v>43728</v>
      </c>
    </row>
    <row r="597" spans="1:2" x14ac:dyDescent="0.25">
      <c r="A597" s="15">
        <f t="shared" si="53"/>
        <v>0</v>
      </c>
      <c r="B597" s="20">
        <v>43729</v>
      </c>
    </row>
    <row r="598" spans="1:2" x14ac:dyDescent="0.25">
      <c r="A598" s="15">
        <f t="shared" si="53"/>
        <v>0</v>
      </c>
      <c r="B598" s="20">
        <v>43730</v>
      </c>
    </row>
  </sheetData>
  <mergeCells count="1">
    <mergeCell ref="A7:B7"/>
  </mergeCells>
  <conditionalFormatting sqref="B1:B1048576">
    <cfRule type="cellIs" dxfId="28" priority="1" operator="equal">
      <formula>TODAY()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tabColor theme="3" tint="0.59999389629810485"/>
  </sheetPr>
  <dimension ref="A1:AF238"/>
  <sheetViews>
    <sheetView topLeftCell="G1" zoomScale="90" zoomScaleNormal="90" workbookViewId="0">
      <selection activeCell="Q72" activeCellId="8" sqref="Q83 Q82 Q81 Q80 Q79 Q78 Q76 Q75 Q72"/>
    </sheetView>
  </sheetViews>
  <sheetFormatPr baseColWidth="10" defaultRowHeight="15" x14ac:dyDescent="0.25"/>
  <cols>
    <col min="1" max="1" width="7.5703125" style="73" hidden="1" customWidth="1"/>
    <col min="2" max="2" width="6.140625" style="73" hidden="1" customWidth="1"/>
    <col min="3" max="3" width="4.5703125" style="73" bestFit="1" customWidth="1"/>
    <col min="4" max="4" width="8.85546875" style="73" hidden="1" customWidth="1"/>
    <col min="5" max="5" width="21.28515625" style="73" bestFit="1" customWidth="1"/>
    <col min="6" max="6" width="14.28515625" style="73" bestFit="1" customWidth="1"/>
    <col min="7" max="7" width="14.7109375" style="74" bestFit="1" customWidth="1"/>
    <col min="8" max="8" width="11.5703125" style="74" bestFit="1" customWidth="1"/>
    <col min="9" max="9" width="15.28515625" style="74" bestFit="1" customWidth="1"/>
    <col min="10" max="10" width="11.5703125" style="74" customWidth="1"/>
    <col min="11" max="11" width="8.42578125" style="74" bestFit="1" customWidth="1"/>
    <col min="12" max="12" width="15.28515625" style="74" bestFit="1" customWidth="1"/>
    <col min="13" max="13" width="14.7109375" style="76" bestFit="1" customWidth="1"/>
    <col min="14" max="14" width="17.140625" style="76" bestFit="1" customWidth="1"/>
    <col min="15" max="15" width="18.28515625" style="73" customWidth="1"/>
    <col min="16" max="16" width="19.5703125" style="76" bestFit="1" customWidth="1"/>
    <col min="17" max="17" width="19.5703125" style="76" customWidth="1"/>
    <col min="18" max="18" width="17.28515625" style="85" hidden="1" customWidth="1"/>
    <col min="19" max="19" width="16.5703125" style="74" bestFit="1" customWidth="1"/>
    <col min="20" max="20" width="16" style="73" customWidth="1"/>
    <col min="21" max="21" width="11" style="73" bestFit="1" customWidth="1"/>
    <col min="22" max="22" width="13.5703125" style="73" customWidth="1"/>
    <col min="23" max="23" width="2.7109375" style="73" customWidth="1"/>
    <col min="24" max="24" width="16" style="74" bestFit="1" customWidth="1"/>
    <col min="25" max="25" width="19.28515625" style="74" bestFit="1" customWidth="1"/>
    <col min="26" max="16384" width="11.42578125" style="74"/>
  </cols>
  <sheetData>
    <row r="1" spans="1:25" ht="39" customHeight="1" x14ac:dyDescent="0.25">
      <c r="H1" s="75" t="s">
        <v>54</v>
      </c>
      <c r="I1" s="75" t="s">
        <v>55</v>
      </c>
      <c r="J1" s="75" t="s">
        <v>56</v>
      </c>
      <c r="M1" s="74"/>
      <c r="N1" s="74"/>
      <c r="O1" s="75" t="s">
        <v>57</v>
      </c>
      <c r="R1" s="77" t="s">
        <v>58</v>
      </c>
      <c r="S1" s="77" t="s">
        <v>59</v>
      </c>
    </row>
    <row r="2" spans="1:25" x14ac:dyDescent="0.25">
      <c r="H2" s="78">
        <v>43236</v>
      </c>
      <c r="I2" s="79">
        <f>+Q84</f>
        <v>287790000.15324724</v>
      </c>
      <c r="J2" s="80">
        <f>+I2/O2</f>
        <v>456165.10033959523</v>
      </c>
      <c r="L2" s="81"/>
      <c r="M2" s="81"/>
      <c r="N2" s="81"/>
      <c r="O2" s="82">
        <v>630.89</v>
      </c>
      <c r="R2" s="77">
        <v>37495005.509999998</v>
      </c>
      <c r="S2" s="83">
        <f>+O84/R2</f>
        <v>0.43386969220904115</v>
      </c>
      <c r="T2" s="84"/>
      <c r="V2" s="84"/>
      <c r="W2" s="84"/>
    </row>
    <row r="3" spans="1:25" x14ac:dyDescent="0.25">
      <c r="M3" s="74"/>
      <c r="N3" s="74"/>
      <c r="O3" s="74"/>
      <c r="S3" s="85"/>
      <c r="T3" s="86"/>
    </row>
    <row r="4" spans="1:25" ht="16.5" customHeight="1" x14ac:dyDescent="0.25">
      <c r="H4" s="345" t="s">
        <v>60</v>
      </c>
      <c r="I4" s="345"/>
      <c r="J4" s="345"/>
      <c r="K4" s="345"/>
      <c r="L4" s="345"/>
      <c r="M4" s="345"/>
      <c r="N4" s="345"/>
      <c r="O4" s="345"/>
      <c r="P4" s="345"/>
      <c r="Q4" s="345"/>
      <c r="R4" s="345"/>
      <c r="S4" s="345"/>
      <c r="T4" s="345"/>
      <c r="U4" s="345"/>
      <c r="V4" s="345"/>
    </row>
    <row r="5" spans="1:25" ht="39.75" customHeight="1" x14ac:dyDescent="0.25">
      <c r="G5" s="87" t="s">
        <v>2</v>
      </c>
      <c r="H5" s="87" t="s">
        <v>61</v>
      </c>
      <c r="I5" s="87" t="s">
        <v>4</v>
      </c>
      <c r="J5" s="87" t="s">
        <v>5</v>
      </c>
      <c r="K5" s="87" t="s">
        <v>174</v>
      </c>
      <c r="L5" s="87" t="s">
        <v>175</v>
      </c>
      <c r="M5" s="87" t="s">
        <v>8</v>
      </c>
      <c r="N5" s="321" t="s">
        <v>365</v>
      </c>
      <c r="O5" s="88" t="s">
        <v>7</v>
      </c>
      <c r="P5" s="89" t="s">
        <v>9</v>
      </c>
      <c r="Q5" s="322" t="s">
        <v>10</v>
      </c>
      <c r="R5" s="90" t="s">
        <v>10</v>
      </c>
      <c r="S5" s="90" t="s">
        <v>157</v>
      </c>
      <c r="T5" s="87" t="s">
        <v>62</v>
      </c>
      <c r="U5" s="87" t="s">
        <v>63</v>
      </c>
      <c r="V5" s="90" t="s">
        <v>158</v>
      </c>
    </row>
    <row r="6" spans="1:25" s="96" customFormat="1" x14ac:dyDescent="0.25">
      <c r="A6" s="91"/>
      <c r="B6" s="91"/>
      <c r="C6" s="91"/>
      <c r="D6" s="91"/>
      <c r="E6" s="91"/>
      <c r="F6" s="91"/>
      <c r="G6" s="92"/>
      <c r="H6" s="92"/>
      <c r="I6" s="92"/>
      <c r="J6" s="92"/>
      <c r="K6" s="92"/>
      <c r="L6" s="92"/>
      <c r="M6" s="92"/>
      <c r="N6" s="92"/>
      <c r="O6" s="93"/>
      <c r="P6" s="94"/>
      <c r="Q6" s="94"/>
      <c r="R6" s="95"/>
      <c r="S6" s="95"/>
      <c r="T6" s="92"/>
      <c r="U6" s="92"/>
      <c r="V6" s="95"/>
      <c r="W6" s="91"/>
    </row>
    <row r="7" spans="1:25" s="112" customFormat="1" hidden="1" x14ac:dyDescent="0.25">
      <c r="A7" s="97"/>
      <c r="B7" s="98"/>
      <c r="C7" s="98"/>
      <c r="D7" s="99"/>
      <c r="E7" s="99"/>
      <c r="F7" s="97" t="s">
        <v>111</v>
      </c>
      <c r="G7" s="100">
        <v>42951</v>
      </c>
      <c r="H7" s="101" t="s">
        <v>64</v>
      </c>
      <c r="I7" s="102">
        <f>+G7+33</f>
        <v>42984</v>
      </c>
      <c r="J7" s="103" t="s">
        <v>65</v>
      </c>
      <c r="K7" s="104"/>
      <c r="L7" s="104"/>
      <c r="M7" s="105">
        <v>650.91999999999996</v>
      </c>
      <c r="N7" s="105"/>
      <c r="O7" s="106">
        <f>1536287.1*0</f>
        <v>0</v>
      </c>
      <c r="P7" s="107" t="e">
        <f>VLOOKUP(F7,'INf. RA USD'!#REF!,4,0)*0</f>
        <v>#REF!</v>
      </c>
      <c r="Q7" s="107"/>
      <c r="R7" s="108"/>
      <c r="S7" s="109" t="s">
        <v>156</v>
      </c>
      <c r="T7" s="110">
        <f t="shared" ref="T7:T31" si="0">ROUND(M7*O7/$O$2/1000,0)</f>
        <v>0</v>
      </c>
      <c r="U7" s="111" t="e">
        <f t="shared" ref="U7:U31" si="1">ROUND(O7*P7/$O$2/1000,0)</f>
        <v>#REF!</v>
      </c>
      <c r="V7" s="109" t="s">
        <v>104</v>
      </c>
      <c r="W7" s="97"/>
    </row>
    <row r="8" spans="1:25" s="112" customFormat="1" hidden="1" x14ac:dyDescent="0.25">
      <c r="A8" s="97"/>
      <c r="B8" s="98"/>
      <c r="C8" s="98"/>
      <c r="D8" s="99"/>
      <c r="E8" s="99"/>
      <c r="F8" s="97" t="s">
        <v>116</v>
      </c>
      <c r="G8" s="100">
        <v>42958</v>
      </c>
      <c r="H8" s="101" t="s">
        <v>64</v>
      </c>
      <c r="I8" s="102">
        <v>42998</v>
      </c>
      <c r="J8" s="103" t="s">
        <v>65</v>
      </c>
      <c r="K8" s="104">
        <f t="shared" ref="K8:K39" si="2">+I8-G8</f>
        <v>40</v>
      </c>
      <c r="L8" s="104">
        <f t="shared" ref="L8:L39" si="3">+I8-$H$2</f>
        <v>-238</v>
      </c>
      <c r="M8" s="105">
        <v>648.05999999999995</v>
      </c>
      <c r="N8" s="105"/>
      <c r="O8" s="106">
        <f>1388760.3*0</f>
        <v>0</v>
      </c>
      <c r="P8" s="107" t="e">
        <f>VLOOKUP(F8,'INf. RA USD'!#REF!,4,0)</f>
        <v>#REF!</v>
      </c>
      <c r="Q8" s="107"/>
      <c r="R8" s="108"/>
      <c r="S8" s="109" t="s">
        <v>156</v>
      </c>
      <c r="T8" s="110">
        <f t="shared" si="0"/>
        <v>0</v>
      </c>
      <c r="U8" s="111" t="e">
        <f t="shared" si="1"/>
        <v>#REF!</v>
      </c>
      <c r="V8" s="109" t="s">
        <v>104</v>
      </c>
      <c r="W8" s="97"/>
    </row>
    <row r="9" spans="1:25" hidden="1" x14ac:dyDescent="0.25">
      <c r="B9" s="113"/>
      <c r="C9" s="113"/>
      <c r="D9" s="114"/>
      <c r="E9" s="114"/>
      <c r="F9" s="73" t="s">
        <v>117</v>
      </c>
      <c r="G9" s="115">
        <v>42961</v>
      </c>
      <c r="H9" s="116" t="s">
        <v>64</v>
      </c>
      <c r="I9" s="117">
        <v>42999</v>
      </c>
      <c r="J9" s="118" t="s">
        <v>65</v>
      </c>
      <c r="K9" s="119">
        <f t="shared" si="2"/>
        <v>38</v>
      </c>
      <c r="L9" s="119">
        <f t="shared" si="3"/>
        <v>-237</v>
      </c>
      <c r="M9" s="120">
        <v>647.36</v>
      </c>
      <c r="N9" s="120"/>
      <c r="O9" s="121">
        <f>3656697.97*0</f>
        <v>0</v>
      </c>
      <c r="P9" s="122" t="e">
        <f>VLOOKUP(F9,'INf. RA USD'!#REF!,4,0)</f>
        <v>#REF!</v>
      </c>
      <c r="Q9" s="122"/>
      <c r="R9" s="123"/>
      <c r="S9" s="124" t="s">
        <v>156</v>
      </c>
      <c r="T9" s="125">
        <f t="shared" si="0"/>
        <v>0</v>
      </c>
      <c r="U9" s="126" t="e">
        <f t="shared" si="1"/>
        <v>#REF!</v>
      </c>
      <c r="V9" s="124" t="s">
        <v>104</v>
      </c>
    </row>
    <row r="10" spans="1:25" hidden="1" x14ac:dyDescent="0.25">
      <c r="B10" s="113"/>
      <c r="C10" s="113"/>
      <c r="D10" s="114"/>
      <c r="E10" s="114"/>
      <c r="F10" s="73" t="s">
        <v>120</v>
      </c>
      <c r="G10" s="115">
        <v>42961</v>
      </c>
      <c r="H10" s="116" t="s">
        <v>64</v>
      </c>
      <c r="I10" s="117">
        <v>42989</v>
      </c>
      <c r="J10" s="118" t="s">
        <v>65</v>
      </c>
      <c r="K10" s="119">
        <f t="shared" si="2"/>
        <v>28</v>
      </c>
      <c r="L10" s="119">
        <f t="shared" si="3"/>
        <v>-247</v>
      </c>
      <c r="M10" s="120">
        <v>647.84</v>
      </c>
      <c r="N10" s="120"/>
      <c r="O10" s="121">
        <f>1234872.81*0</f>
        <v>0</v>
      </c>
      <c r="P10" s="122" t="e">
        <f>VLOOKUP(F10,'INf. RA USD'!#REF!,4,0)</f>
        <v>#REF!</v>
      </c>
      <c r="Q10" s="122"/>
      <c r="R10" s="123"/>
      <c r="S10" s="124" t="s">
        <v>156</v>
      </c>
      <c r="T10" s="125">
        <f t="shared" si="0"/>
        <v>0</v>
      </c>
      <c r="U10" s="126" t="e">
        <f t="shared" si="1"/>
        <v>#REF!</v>
      </c>
      <c r="V10" s="124" t="s">
        <v>104</v>
      </c>
      <c r="X10" s="127"/>
      <c r="Y10" s="128"/>
    </row>
    <row r="11" spans="1:25" hidden="1" x14ac:dyDescent="0.25">
      <c r="B11" s="113"/>
      <c r="C11" s="113"/>
      <c r="D11" s="114"/>
      <c r="E11" s="114"/>
      <c r="F11" s="73" t="s">
        <v>121</v>
      </c>
      <c r="G11" s="115">
        <v>42963</v>
      </c>
      <c r="H11" s="116" t="s">
        <v>64</v>
      </c>
      <c r="I11" s="117">
        <v>42993</v>
      </c>
      <c r="J11" s="118" t="s">
        <v>65</v>
      </c>
      <c r="K11" s="119">
        <f t="shared" si="2"/>
        <v>30</v>
      </c>
      <c r="L11" s="119">
        <f t="shared" si="3"/>
        <v>-243</v>
      </c>
      <c r="M11" s="120">
        <v>644.97</v>
      </c>
      <c r="N11" s="120"/>
      <c r="O11" s="121">
        <f>697706.87*0</f>
        <v>0</v>
      </c>
      <c r="P11" s="122" t="e">
        <f>VLOOKUP(F11,'INf. RA USD'!#REF!,4,0)</f>
        <v>#REF!</v>
      </c>
      <c r="Q11" s="122"/>
      <c r="R11" s="123"/>
      <c r="S11" s="124" t="s">
        <v>156</v>
      </c>
      <c r="T11" s="125">
        <f t="shared" si="0"/>
        <v>0</v>
      </c>
      <c r="U11" s="126" t="e">
        <f t="shared" si="1"/>
        <v>#REF!</v>
      </c>
      <c r="V11" s="124" t="s">
        <v>104</v>
      </c>
      <c r="X11" s="128"/>
    </row>
    <row r="12" spans="1:25" hidden="1" x14ac:dyDescent="0.25">
      <c r="B12" s="113"/>
      <c r="C12" s="113"/>
      <c r="D12" s="114"/>
      <c r="E12" s="114"/>
      <c r="F12" s="73" t="s">
        <v>127</v>
      </c>
      <c r="G12" s="115">
        <v>42963</v>
      </c>
      <c r="H12" s="116" t="s">
        <v>64</v>
      </c>
      <c r="I12" s="117">
        <v>42990</v>
      </c>
      <c r="J12" s="118" t="s">
        <v>65</v>
      </c>
      <c r="K12" s="119">
        <f t="shared" si="2"/>
        <v>27</v>
      </c>
      <c r="L12" s="119">
        <f t="shared" si="3"/>
        <v>-246</v>
      </c>
      <c r="M12" s="120">
        <v>646.88</v>
      </c>
      <c r="N12" s="120"/>
      <c r="O12" s="121">
        <f>618352.71*0</f>
        <v>0</v>
      </c>
      <c r="P12" s="122" t="e">
        <f>VLOOKUP(F12,'INf. RA USD'!#REF!,4,0)</f>
        <v>#REF!</v>
      </c>
      <c r="Q12" s="122"/>
      <c r="R12" s="123"/>
      <c r="S12" s="124" t="s">
        <v>156</v>
      </c>
      <c r="T12" s="125">
        <f t="shared" si="0"/>
        <v>0</v>
      </c>
      <c r="U12" s="126" t="e">
        <f t="shared" si="1"/>
        <v>#REF!</v>
      </c>
      <c r="V12" s="124" t="s">
        <v>104</v>
      </c>
      <c r="X12" s="127"/>
    </row>
    <row r="13" spans="1:25" s="112" customFormat="1" hidden="1" x14ac:dyDescent="0.25">
      <c r="A13" s="97"/>
      <c r="B13" s="98"/>
      <c r="C13" s="98"/>
      <c r="D13" s="99"/>
      <c r="E13" s="99"/>
      <c r="F13" s="97" t="s">
        <v>116</v>
      </c>
      <c r="G13" s="100">
        <v>42964</v>
      </c>
      <c r="H13" s="101" t="s">
        <v>64</v>
      </c>
      <c r="I13" s="102">
        <v>42998</v>
      </c>
      <c r="J13" s="103" t="s">
        <v>65</v>
      </c>
      <c r="K13" s="104">
        <f t="shared" si="2"/>
        <v>34</v>
      </c>
      <c r="L13" s="119">
        <f t="shared" si="3"/>
        <v>-238</v>
      </c>
      <c r="M13" s="105">
        <v>645.35</v>
      </c>
      <c r="N13" s="105"/>
      <c r="O13" s="106">
        <f>1394592.28*0</f>
        <v>0</v>
      </c>
      <c r="P13" s="107" t="e">
        <f>VLOOKUP(F13,'INf. RA USD'!#REF!,4,0)</f>
        <v>#REF!</v>
      </c>
      <c r="Q13" s="107"/>
      <c r="R13" s="108"/>
      <c r="S13" s="109" t="s">
        <v>156</v>
      </c>
      <c r="T13" s="110">
        <f t="shared" si="0"/>
        <v>0</v>
      </c>
      <c r="U13" s="111" t="e">
        <f t="shared" si="1"/>
        <v>#REF!</v>
      </c>
      <c r="V13" s="109" t="s">
        <v>104</v>
      </c>
      <c r="W13" s="97"/>
    </row>
    <row r="14" spans="1:25" s="112" customFormat="1" hidden="1" x14ac:dyDescent="0.25">
      <c r="A14" s="97"/>
      <c r="B14" s="98"/>
      <c r="C14" s="98"/>
      <c r="D14" s="99"/>
      <c r="E14" s="99"/>
      <c r="F14" s="97" t="s">
        <v>138</v>
      </c>
      <c r="G14" s="100">
        <v>42968</v>
      </c>
      <c r="H14" s="101" t="s">
        <v>64</v>
      </c>
      <c r="I14" s="102">
        <v>42991</v>
      </c>
      <c r="J14" s="103" t="s">
        <v>65</v>
      </c>
      <c r="K14" s="104">
        <f t="shared" si="2"/>
        <v>23</v>
      </c>
      <c r="L14" s="119">
        <f t="shared" si="3"/>
        <v>-245</v>
      </c>
      <c r="M14" s="105">
        <v>642.25</v>
      </c>
      <c r="N14" s="105"/>
      <c r="O14" s="106">
        <f>2491241.73*0</f>
        <v>0</v>
      </c>
      <c r="P14" s="107" t="e">
        <f>VLOOKUP(F14,'INf. RA USD'!#REF!,4,0)</f>
        <v>#REF!</v>
      </c>
      <c r="Q14" s="107"/>
      <c r="R14" s="108"/>
      <c r="S14" s="109" t="s">
        <v>156</v>
      </c>
      <c r="T14" s="110">
        <f t="shared" si="0"/>
        <v>0</v>
      </c>
      <c r="U14" s="111" t="e">
        <f t="shared" si="1"/>
        <v>#REF!</v>
      </c>
      <c r="V14" s="109" t="s">
        <v>104</v>
      </c>
      <c r="W14" s="97"/>
      <c r="X14" s="127"/>
    </row>
    <row r="15" spans="1:25" hidden="1" x14ac:dyDescent="0.25">
      <c r="B15" s="113"/>
      <c r="C15" s="113"/>
      <c r="D15" s="114"/>
      <c r="E15" s="114"/>
      <c r="F15" s="73" t="s">
        <v>141</v>
      </c>
      <c r="G15" s="115">
        <v>42968</v>
      </c>
      <c r="H15" s="116" t="s">
        <v>64</v>
      </c>
      <c r="I15" s="117">
        <v>43020</v>
      </c>
      <c r="J15" s="118" t="s">
        <v>65</v>
      </c>
      <c r="K15" s="119">
        <f t="shared" si="2"/>
        <v>52</v>
      </c>
      <c r="L15" s="119">
        <f t="shared" si="3"/>
        <v>-216</v>
      </c>
      <c r="M15" s="120">
        <v>642.66999999999996</v>
      </c>
      <c r="N15" s="120"/>
      <c r="O15" s="121">
        <f>1867210.23*0</f>
        <v>0</v>
      </c>
      <c r="P15" s="122"/>
      <c r="Q15" s="122"/>
      <c r="R15" s="123">
        <f>IF(H15="Compra",ROUND((-M15+$P15)*O15,2),IF(H15="Venta",ROUND((+M15-$P15)*O15,2)," "))</f>
        <v>0</v>
      </c>
      <c r="S15" s="124" t="s">
        <v>156</v>
      </c>
      <c r="T15" s="125">
        <f t="shared" si="0"/>
        <v>0</v>
      </c>
      <c r="U15" s="126">
        <f t="shared" si="1"/>
        <v>0</v>
      </c>
      <c r="V15" s="124" t="s">
        <v>104</v>
      </c>
    </row>
    <row r="16" spans="1:25" hidden="1" x14ac:dyDescent="0.25">
      <c r="B16" s="113"/>
      <c r="C16" s="113"/>
      <c r="D16" s="114"/>
      <c r="E16" s="114"/>
      <c r="F16" s="73" t="s">
        <v>150</v>
      </c>
      <c r="G16" s="115">
        <v>42975</v>
      </c>
      <c r="H16" s="116" t="s">
        <v>64</v>
      </c>
      <c r="I16" s="117">
        <v>43032</v>
      </c>
      <c r="J16" s="118" t="s">
        <v>65</v>
      </c>
      <c r="K16" s="119">
        <f t="shared" si="2"/>
        <v>57</v>
      </c>
      <c r="L16" s="119">
        <f t="shared" si="3"/>
        <v>-204</v>
      </c>
      <c r="M16" s="120">
        <v>630.12</v>
      </c>
      <c r="N16" s="120"/>
      <c r="O16" s="121">
        <f>4302808.99*0</f>
        <v>0</v>
      </c>
      <c r="P16" s="122" t="e">
        <f>VLOOKUP(F16,'INf. RA USD'!$M:$P,4,0)</f>
        <v>#N/A</v>
      </c>
      <c r="Q16" s="122"/>
      <c r="R16" s="123"/>
      <c r="S16" s="124" t="s">
        <v>76</v>
      </c>
      <c r="T16" s="125">
        <f t="shared" si="0"/>
        <v>0</v>
      </c>
      <c r="U16" s="126" t="e">
        <f t="shared" si="1"/>
        <v>#N/A</v>
      </c>
      <c r="V16" s="124" t="s">
        <v>104</v>
      </c>
    </row>
    <row r="17" spans="1:23" hidden="1" x14ac:dyDescent="0.25">
      <c r="B17" s="113"/>
      <c r="C17" s="113"/>
      <c r="D17" s="114"/>
      <c r="E17" s="114"/>
      <c r="F17" s="73" t="s">
        <v>160</v>
      </c>
      <c r="G17" s="115">
        <v>42984</v>
      </c>
      <c r="H17" s="116" t="s">
        <v>64</v>
      </c>
      <c r="I17" s="117">
        <v>43010</v>
      </c>
      <c r="J17" s="118" t="s">
        <v>65</v>
      </c>
      <c r="K17" s="119">
        <f t="shared" si="2"/>
        <v>26</v>
      </c>
      <c r="L17" s="119">
        <f t="shared" si="3"/>
        <v>-226</v>
      </c>
      <c r="M17" s="120">
        <v>620.44000000000005</v>
      </c>
      <c r="N17" s="120"/>
      <c r="O17" s="121">
        <f>1611759.4*0</f>
        <v>0</v>
      </c>
      <c r="P17" s="122" t="e">
        <f>VLOOKUP(F17,'INf. RA USD'!$M:$P,4,0)</f>
        <v>#N/A</v>
      </c>
      <c r="Q17" s="122"/>
      <c r="R17" s="123"/>
      <c r="S17" s="124" t="s">
        <v>76</v>
      </c>
      <c r="T17" s="125">
        <f t="shared" si="0"/>
        <v>0</v>
      </c>
      <c r="U17" s="126" t="e">
        <f t="shared" si="1"/>
        <v>#N/A</v>
      </c>
      <c r="V17" s="124" t="s">
        <v>104</v>
      </c>
    </row>
    <row r="18" spans="1:23" hidden="1" x14ac:dyDescent="0.25">
      <c r="B18" s="113"/>
      <c r="C18" s="113"/>
      <c r="D18" s="114"/>
      <c r="E18" s="114"/>
      <c r="F18" s="73" t="s">
        <v>160</v>
      </c>
      <c r="G18" s="115">
        <v>42984</v>
      </c>
      <c r="H18" s="116" t="s">
        <v>64</v>
      </c>
      <c r="I18" s="117">
        <v>43010</v>
      </c>
      <c r="J18" s="118" t="s">
        <v>65</v>
      </c>
      <c r="K18" s="119">
        <f t="shared" si="2"/>
        <v>26</v>
      </c>
      <c r="L18" s="119">
        <f t="shared" si="3"/>
        <v>-226</v>
      </c>
      <c r="M18" s="120">
        <v>620.44000000000005</v>
      </c>
      <c r="N18" s="120"/>
      <c r="O18" s="121">
        <f>1611759.4*0</f>
        <v>0</v>
      </c>
      <c r="P18" s="122" t="e">
        <f>VLOOKUP(F18,'INf. RA USD'!$M:$P,4,0)</f>
        <v>#N/A</v>
      </c>
      <c r="Q18" s="122"/>
      <c r="R18" s="123"/>
      <c r="S18" s="124" t="s">
        <v>76</v>
      </c>
      <c r="T18" s="125">
        <f t="shared" si="0"/>
        <v>0</v>
      </c>
      <c r="U18" s="126" t="e">
        <f t="shared" si="1"/>
        <v>#N/A</v>
      </c>
      <c r="V18" s="124" t="s">
        <v>104</v>
      </c>
    </row>
    <row r="19" spans="1:23" s="143" customFormat="1" hidden="1" x14ac:dyDescent="0.25">
      <c r="A19" s="129"/>
      <c r="B19" s="130"/>
      <c r="C19" s="130"/>
      <c r="D19" s="131"/>
      <c r="E19" s="131"/>
      <c r="F19" s="129" t="s">
        <v>166</v>
      </c>
      <c r="G19" s="132">
        <v>42985</v>
      </c>
      <c r="H19" s="133" t="s">
        <v>64</v>
      </c>
      <c r="I19" s="134">
        <v>43019</v>
      </c>
      <c r="J19" s="135" t="s">
        <v>65</v>
      </c>
      <c r="K19" s="136">
        <f t="shared" si="2"/>
        <v>34</v>
      </c>
      <c r="L19" s="136">
        <f t="shared" si="3"/>
        <v>-217</v>
      </c>
      <c r="M19" s="137">
        <v>615.62</v>
      </c>
      <c r="N19" s="137"/>
      <c r="O19" s="138">
        <f>1624378.68*0</f>
        <v>0</v>
      </c>
      <c r="P19" s="139"/>
      <c r="Q19" s="139"/>
      <c r="R19" s="140">
        <f>IF(H19="Compra",ROUND((-M19+$P19)*O19,2),IF(H19="Venta",ROUND((+M19-$P19)*O19,2)," "))</f>
        <v>0</v>
      </c>
      <c r="S19" s="141" t="s">
        <v>76</v>
      </c>
      <c r="T19" s="142">
        <f t="shared" si="0"/>
        <v>0</v>
      </c>
      <c r="U19" s="138">
        <f t="shared" si="1"/>
        <v>0</v>
      </c>
      <c r="V19" s="141" t="s">
        <v>104</v>
      </c>
      <c r="W19" s="129"/>
    </row>
    <row r="20" spans="1:23" hidden="1" x14ac:dyDescent="0.25">
      <c r="B20" s="113"/>
      <c r="C20" s="113"/>
      <c r="D20" s="114"/>
      <c r="E20" s="114"/>
      <c r="F20" s="73" t="s">
        <v>168</v>
      </c>
      <c r="G20" s="132">
        <v>42985</v>
      </c>
      <c r="H20" s="133" t="s">
        <v>64</v>
      </c>
      <c r="I20" s="134">
        <v>43027</v>
      </c>
      <c r="J20" s="135" t="s">
        <v>65</v>
      </c>
      <c r="K20" s="136">
        <f t="shared" si="2"/>
        <v>42</v>
      </c>
      <c r="L20" s="136">
        <f t="shared" si="3"/>
        <v>-209</v>
      </c>
      <c r="M20" s="137">
        <v>615.75</v>
      </c>
      <c r="N20" s="137"/>
      <c r="O20" s="138">
        <f>974421.44*0</f>
        <v>0</v>
      </c>
      <c r="P20" s="139"/>
      <c r="Q20" s="139"/>
      <c r="R20" s="140">
        <f>IF(H20="Compra",ROUND((-M20+$P20)*O20,2),IF(H20="Venta",ROUND((+M20-$P20)*O20,2)," "))</f>
        <v>0</v>
      </c>
      <c r="S20" s="141" t="s">
        <v>76</v>
      </c>
      <c r="T20" s="142">
        <f t="shared" si="0"/>
        <v>0</v>
      </c>
      <c r="U20" s="138">
        <f t="shared" si="1"/>
        <v>0</v>
      </c>
      <c r="V20" s="141" t="s">
        <v>104</v>
      </c>
    </row>
    <row r="21" spans="1:23" hidden="1" x14ac:dyDescent="0.25">
      <c r="B21" s="113"/>
      <c r="C21" s="113"/>
      <c r="D21" s="114"/>
      <c r="E21" s="114"/>
      <c r="F21" s="73" t="s">
        <v>172</v>
      </c>
      <c r="G21" s="115">
        <v>42989</v>
      </c>
      <c r="H21" s="116" t="s">
        <v>64</v>
      </c>
      <c r="I21" s="117">
        <v>43055</v>
      </c>
      <c r="J21" s="118" t="s">
        <v>65</v>
      </c>
      <c r="K21" s="119">
        <f t="shared" si="2"/>
        <v>66</v>
      </c>
      <c r="L21" s="119">
        <f t="shared" si="3"/>
        <v>-181</v>
      </c>
      <c r="M21" s="120">
        <v>623.07000000000005</v>
      </c>
      <c r="N21" s="120"/>
      <c r="O21" s="121">
        <f>802478.05*0</f>
        <v>0</v>
      </c>
      <c r="P21" s="122" t="e">
        <f>VLOOKUP(F21,'INf. RA USD'!$M:$P,4,0)</f>
        <v>#N/A</v>
      </c>
      <c r="Q21" s="122"/>
      <c r="R21" s="123"/>
      <c r="S21" s="124" t="s">
        <v>156</v>
      </c>
      <c r="T21" s="125">
        <f t="shared" si="0"/>
        <v>0</v>
      </c>
      <c r="U21" s="126" t="e">
        <f t="shared" si="1"/>
        <v>#N/A</v>
      </c>
      <c r="V21" s="124" t="s">
        <v>104</v>
      </c>
    </row>
    <row r="22" spans="1:23" hidden="1" x14ac:dyDescent="0.25">
      <c r="B22" s="113"/>
      <c r="C22" s="113"/>
      <c r="D22" s="114"/>
      <c r="E22" s="114"/>
      <c r="F22" s="73" t="s">
        <v>178</v>
      </c>
      <c r="G22" s="115">
        <v>42991</v>
      </c>
      <c r="H22" s="116" t="s">
        <v>64</v>
      </c>
      <c r="I22" s="117">
        <v>43014</v>
      </c>
      <c r="J22" s="118" t="s">
        <v>65</v>
      </c>
      <c r="K22" s="119">
        <f t="shared" si="2"/>
        <v>23</v>
      </c>
      <c r="L22" s="119">
        <f t="shared" si="3"/>
        <v>-222</v>
      </c>
      <c r="M22" s="120">
        <v>626.49</v>
      </c>
      <c r="N22" s="120"/>
      <c r="O22" s="121">
        <f>1835623.87*0</f>
        <v>0</v>
      </c>
      <c r="P22" s="122"/>
      <c r="Q22" s="122"/>
      <c r="R22" s="123">
        <f>IF(H22="Compra",ROUND((-M22+$P22)*O22,2),IF(H22="Venta",ROUND((+M22-$P22)*O22,2)," "))</f>
        <v>0</v>
      </c>
      <c r="S22" s="124" t="s">
        <v>76</v>
      </c>
      <c r="T22" s="125">
        <f t="shared" si="0"/>
        <v>0</v>
      </c>
      <c r="U22" s="126">
        <f t="shared" si="1"/>
        <v>0</v>
      </c>
      <c r="V22" s="124" t="s">
        <v>104</v>
      </c>
    </row>
    <row r="23" spans="1:23" hidden="1" x14ac:dyDescent="0.25">
      <c r="B23" s="113"/>
      <c r="C23" s="113"/>
      <c r="D23" s="114"/>
      <c r="E23" s="114"/>
      <c r="F23" s="73" t="s">
        <v>160</v>
      </c>
      <c r="G23" s="115">
        <v>42991</v>
      </c>
      <c r="H23" s="116" t="s">
        <v>64</v>
      </c>
      <c r="I23" s="117">
        <v>43010</v>
      </c>
      <c r="J23" s="118" t="s">
        <v>65</v>
      </c>
      <c r="K23" s="119">
        <f t="shared" si="2"/>
        <v>19</v>
      </c>
      <c r="L23" s="119">
        <f t="shared" si="3"/>
        <v>-226</v>
      </c>
      <c r="M23" s="120">
        <v>626.41999999999996</v>
      </c>
      <c r="N23" s="120"/>
      <c r="O23" s="121">
        <f>1596373.04*0</f>
        <v>0</v>
      </c>
      <c r="P23" s="122" t="e">
        <f>VLOOKUP(F23,'INf. RA USD'!$M:$P,4,0)</f>
        <v>#N/A</v>
      </c>
      <c r="Q23" s="122"/>
      <c r="R23" s="123"/>
      <c r="S23" s="124" t="s">
        <v>76</v>
      </c>
      <c r="T23" s="125">
        <f t="shared" si="0"/>
        <v>0</v>
      </c>
      <c r="U23" s="126" t="e">
        <f t="shared" si="1"/>
        <v>#N/A</v>
      </c>
      <c r="V23" s="124" t="s">
        <v>104</v>
      </c>
    </row>
    <row r="24" spans="1:23" hidden="1" x14ac:dyDescent="0.25">
      <c r="B24" s="113"/>
      <c r="C24" s="113"/>
      <c r="D24" s="114"/>
      <c r="E24" s="114"/>
      <c r="F24" s="73" t="s">
        <v>186</v>
      </c>
      <c r="G24" s="115">
        <v>42993</v>
      </c>
      <c r="H24" s="116" t="s">
        <v>64</v>
      </c>
      <c r="I24" s="117">
        <v>43041</v>
      </c>
      <c r="J24" s="118" t="s">
        <v>65</v>
      </c>
      <c r="K24" s="119">
        <f t="shared" si="2"/>
        <v>48</v>
      </c>
      <c r="L24" s="119">
        <f t="shared" si="3"/>
        <v>-195</v>
      </c>
      <c r="M24" s="120">
        <v>627.30999999999995</v>
      </c>
      <c r="N24" s="120"/>
      <c r="O24" s="121">
        <f>2550573.08*0</f>
        <v>0</v>
      </c>
      <c r="P24" s="122" t="e">
        <f>VLOOKUP(F24,'INf. RA USD'!$M:$P,4,0)</f>
        <v>#N/A</v>
      </c>
      <c r="Q24" s="122"/>
      <c r="R24" s="123"/>
      <c r="S24" s="124" t="s">
        <v>76</v>
      </c>
      <c r="T24" s="125">
        <f t="shared" si="0"/>
        <v>0</v>
      </c>
      <c r="U24" s="126" t="e">
        <f t="shared" si="1"/>
        <v>#N/A</v>
      </c>
      <c r="V24" s="124" t="s">
        <v>104</v>
      </c>
    </row>
    <row r="25" spans="1:23" hidden="1" x14ac:dyDescent="0.25">
      <c r="B25" s="113"/>
      <c r="C25" s="113"/>
      <c r="D25" s="114"/>
      <c r="E25" s="114"/>
      <c r="F25" s="73" t="s">
        <v>190</v>
      </c>
      <c r="G25" s="115">
        <v>42998</v>
      </c>
      <c r="H25" s="116" t="s">
        <v>64</v>
      </c>
      <c r="I25" s="117">
        <v>43026</v>
      </c>
      <c r="J25" s="118" t="s">
        <v>65</v>
      </c>
      <c r="K25" s="119">
        <f t="shared" si="2"/>
        <v>28</v>
      </c>
      <c r="L25" s="119">
        <f t="shared" si="3"/>
        <v>-210</v>
      </c>
      <c r="M25" s="120">
        <v>621.99</v>
      </c>
      <c r="N25" s="120"/>
      <c r="O25" s="121">
        <f>2813550.06*0</f>
        <v>0</v>
      </c>
      <c r="P25" s="122" t="e">
        <f>VLOOKUP(F25,'INf. RA USD'!$M:$P,4,0)</f>
        <v>#N/A</v>
      </c>
      <c r="Q25" s="122"/>
      <c r="R25" s="123"/>
      <c r="S25" s="124" t="s">
        <v>76</v>
      </c>
      <c r="T25" s="125">
        <f t="shared" si="0"/>
        <v>0</v>
      </c>
      <c r="U25" s="126" t="e">
        <f t="shared" si="1"/>
        <v>#N/A</v>
      </c>
      <c r="V25" s="124" t="s">
        <v>104</v>
      </c>
    </row>
    <row r="26" spans="1:23" s="247" customFormat="1" hidden="1" x14ac:dyDescent="0.25">
      <c r="A26" s="243"/>
      <c r="B26" s="244"/>
      <c r="C26" s="244"/>
      <c r="D26" s="245"/>
      <c r="E26" s="245"/>
      <c r="F26" s="243" t="s">
        <v>193</v>
      </c>
      <c r="G26" s="132">
        <v>42999</v>
      </c>
      <c r="H26" s="133" t="s">
        <v>64</v>
      </c>
      <c r="I26" s="134">
        <v>43046</v>
      </c>
      <c r="J26" s="135" t="s">
        <v>65</v>
      </c>
      <c r="K26" s="136">
        <f t="shared" si="2"/>
        <v>47</v>
      </c>
      <c r="L26" s="136">
        <f t="shared" si="3"/>
        <v>-190</v>
      </c>
      <c r="M26" s="137">
        <v>624.29999999999995</v>
      </c>
      <c r="N26" s="137"/>
      <c r="O26" s="138">
        <f>3203588.02*0</f>
        <v>0</v>
      </c>
      <c r="P26" s="139" t="e">
        <f>VLOOKUP(F26,'INf. RA USD'!$M:$P,4,0)</f>
        <v>#N/A</v>
      </c>
      <c r="Q26" s="139"/>
      <c r="R26" s="140"/>
      <c r="S26" s="141" t="s">
        <v>76</v>
      </c>
      <c r="T26" s="142">
        <f t="shared" si="0"/>
        <v>0</v>
      </c>
      <c r="U26" s="138" t="e">
        <f t="shared" si="1"/>
        <v>#N/A</v>
      </c>
      <c r="V26" s="141" t="s">
        <v>104</v>
      </c>
      <c r="W26" s="243"/>
    </row>
    <row r="27" spans="1:23" s="147" customFormat="1" hidden="1" x14ac:dyDescent="0.25">
      <c r="A27" s="144"/>
      <c r="B27" s="145"/>
      <c r="C27" s="145"/>
      <c r="D27" s="146"/>
      <c r="E27" s="146"/>
      <c r="F27" s="144" t="s">
        <v>195</v>
      </c>
      <c r="G27" s="115">
        <v>42999</v>
      </c>
      <c r="H27" s="116" t="s">
        <v>64</v>
      </c>
      <c r="I27" s="117">
        <v>43006</v>
      </c>
      <c r="J27" s="118" t="s">
        <v>65</v>
      </c>
      <c r="K27" s="119">
        <f t="shared" si="2"/>
        <v>7</v>
      </c>
      <c r="L27" s="119">
        <f t="shared" si="3"/>
        <v>-230</v>
      </c>
      <c r="M27" s="120">
        <v>624.15</v>
      </c>
      <c r="N27" s="120"/>
      <c r="O27" s="121">
        <f>640871.59*0</f>
        <v>0</v>
      </c>
      <c r="P27" s="122" t="e">
        <f>VLOOKUP(F27,'INf. RA USD'!$M:$P,4,0)</f>
        <v>#N/A</v>
      </c>
      <c r="Q27" s="122"/>
      <c r="R27" s="123"/>
      <c r="S27" s="124" t="s">
        <v>76</v>
      </c>
      <c r="T27" s="125">
        <f t="shared" si="0"/>
        <v>0</v>
      </c>
      <c r="U27" s="126" t="e">
        <f t="shared" si="1"/>
        <v>#N/A</v>
      </c>
      <c r="V27" s="124" t="s">
        <v>104</v>
      </c>
      <c r="W27" s="144"/>
    </row>
    <row r="28" spans="1:23" s="147" customFormat="1" hidden="1" x14ac:dyDescent="0.25">
      <c r="A28" s="144"/>
      <c r="B28" s="145"/>
      <c r="C28" s="145"/>
      <c r="D28" s="146"/>
      <c r="E28" s="146"/>
      <c r="F28" s="144" t="s">
        <v>190</v>
      </c>
      <c r="G28" s="115">
        <v>43006</v>
      </c>
      <c r="H28" s="116" t="s">
        <v>64</v>
      </c>
      <c r="I28" s="117">
        <v>43026</v>
      </c>
      <c r="J28" s="118" t="s">
        <v>65</v>
      </c>
      <c r="K28" s="119">
        <f t="shared" si="2"/>
        <v>20</v>
      </c>
      <c r="L28" s="119">
        <f t="shared" si="3"/>
        <v>-210</v>
      </c>
      <c r="M28" s="120">
        <v>636.71</v>
      </c>
      <c r="N28" s="120"/>
      <c r="O28" s="121">
        <f>785286.87*0</f>
        <v>0</v>
      </c>
      <c r="P28" s="122" t="e">
        <f>VLOOKUP(F28,'INf. RA USD'!$M:$P,4,0)</f>
        <v>#N/A</v>
      </c>
      <c r="Q28" s="122"/>
      <c r="R28" s="123"/>
      <c r="S28" s="124" t="s">
        <v>200</v>
      </c>
      <c r="T28" s="125">
        <f t="shared" si="0"/>
        <v>0</v>
      </c>
      <c r="U28" s="126" t="e">
        <f t="shared" si="1"/>
        <v>#N/A</v>
      </c>
      <c r="V28" s="124" t="s">
        <v>104</v>
      </c>
      <c r="W28" s="144"/>
    </row>
    <row r="29" spans="1:23" s="247" customFormat="1" hidden="1" x14ac:dyDescent="0.25">
      <c r="A29" s="243"/>
      <c r="B29" s="244"/>
      <c r="C29" s="244"/>
      <c r="D29" s="245"/>
      <c r="E29" s="245"/>
      <c r="F29" s="243" t="s">
        <v>203</v>
      </c>
      <c r="G29" s="132">
        <v>43010</v>
      </c>
      <c r="H29" s="133" t="s">
        <v>64</v>
      </c>
      <c r="I29" s="134">
        <v>43102</v>
      </c>
      <c r="J29" s="135" t="s">
        <v>65</v>
      </c>
      <c r="K29" s="136">
        <f t="shared" si="2"/>
        <v>92</v>
      </c>
      <c r="L29" s="136">
        <f t="shared" si="3"/>
        <v>-134</v>
      </c>
      <c r="M29" s="137">
        <v>641.4</v>
      </c>
      <c r="N29" s="137"/>
      <c r="O29" s="246">
        <f>2338634.24*0</f>
        <v>0</v>
      </c>
      <c r="P29" s="139" t="e">
        <f>VLOOKUP(F29,'INf. RA USD'!$M:$P,4,0)</f>
        <v>#N/A</v>
      </c>
      <c r="Q29" s="139"/>
      <c r="R29" s="140">
        <v>0</v>
      </c>
      <c r="S29" s="141" t="s">
        <v>200</v>
      </c>
      <c r="T29" s="142">
        <f t="shared" si="0"/>
        <v>0</v>
      </c>
      <c r="U29" s="138" t="e">
        <f t="shared" si="1"/>
        <v>#N/A</v>
      </c>
      <c r="V29" s="141" t="s">
        <v>104</v>
      </c>
      <c r="W29" s="243"/>
    </row>
    <row r="30" spans="1:23" s="147" customFormat="1" hidden="1" x14ac:dyDescent="0.25">
      <c r="A30" s="144"/>
      <c r="B30" s="145"/>
      <c r="C30" s="145"/>
      <c r="D30" s="146"/>
      <c r="E30" s="146"/>
      <c r="F30" s="144" t="s">
        <v>206</v>
      </c>
      <c r="G30" s="115">
        <v>43013</v>
      </c>
      <c r="H30" s="116" t="s">
        <v>64</v>
      </c>
      <c r="I30" s="117">
        <v>43116</v>
      </c>
      <c r="J30" s="118" t="s">
        <v>65</v>
      </c>
      <c r="K30" s="119">
        <f t="shared" si="2"/>
        <v>103</v>
      </c>
      <c r="L30" s="119">
        <f t="shared" si="3"/>
        <v>-120</v>
      </c>
      <c r="M30" s="120">
        <v>628.54999999999995</v>
      </c>
      <c r="N30" s="120"/>
      <c r="O30" s="148">
        <f>795481.66*0</f>
        <v>0</v>
      </c>
      <c r="P30" s="122" t="e">
        <f>VLOOKUP(F30,'INf. RA USD'!$M:$P,4,0)</f>
        <v>#N/A</v>
      </c>
      <c r="Q30" s="122"/>
      <c r="R30" s="123"/>
      <c r="S30" s="124" t="s">
        <v>200</v>
      </c>
      <c r="T30" s="125">
        <f t="shared" si="0"/>
        <v>0</v>
      </c>
      <c r="U30" s="126" t="e">
        <f t="shared" si="1"/>
        <v>#N/A</v>
      </c>
      <c r="V30" s="124" t="s">
        <v>104</v>
      </c>
      <c r="W30" s="144"/>
    </row>
    <row r="31" spans="1:23" s="247" customFormat="1" hidden="1" x14ac:dyDescent="0.25">
      <c r="A31" s="243"/>
      <c r="B31" s="244"/>
      <c r="C31" s="244"/>
      <c r="D31" s="245"/>
      <c r="E31" s="245"/>
      <c r="F31" s="243" t="s">
        <v>210</v>
      </c>
      <c r="G31" s="132">
        <v>43014</v>
      </c>
      <c r="H31" s="133" t="s">
        <v>64</v>
      </c>
      <c r="I31" s="134">
        <v>43042</v>
      </c>
      <c r="J31" s="135" t="s">
        <v>65</v>
      </c>
      <c r="K31" s="136">
        <f t="shared" si="2"/>
        <v>28</v>
      </c>
      <c r="L31" s="136">
        <f t="shared" si="3"/>
        <v>-194</v>
      </c>
      <c r="M31" s="137">
        <v>633.88</v>
      </c>
      <c r="N31" s="137"/>
      <c r="O31" s="246">
        <f>1262068.53*0</f>
        <v>0</v>
      </c>
      <c r="P31" s="139" t="e">
        <f>VLOOKUP(F31,'INf. RA USD'!$M:$P,4,0)</f>
        <v>#N/A</v>
      </c>
      <c r="Q31" s="139"/>
      <c r="R31" s="140"/>
      <c r="S31" s="141" t="s">
        <v>200</v>
      </c>
      <c r="T31" s="142">
        <f t="shared" si="0"/>
        <v>0</v>
      </c>
      <c r="U31" s="138" t="e">
        <f t="shared" si="1"/>
        <v>#N/A</v>
      </c>
      <c r="V31" s="141" t="s">
        <v>104</v>
      </c>
      <c r="W31" s="243"/>
    </row>
    <row r="32" spans="1:23" s="147" customFormat="1" hidden="1" x14ac:dyDescent="0.25">
      <c r="A32" s="144"/>
      <c r="B32" s="145"/>
      <c r="C32" s="145"/>
      <c r="D32" s="146"/>
      <c r="E32" s="146"/>
      <c r="F32" s="144" t="s">
        <v>172</v>
      </c>
      <c r="G32" s="115">
        <v>43019</v>
      </c>
      <c r="H32" s="116" t="s">
        <v>64</v>
      </c>
      <c r="I32" s="117">
        <v>43055</v>
      </c>
      <c r="J32" s="118" t="s">
        <v>65</v>
      </c>
      <c r="K32" s="119">
        <f t="shared" si="2"/>
        <v>36</v>
      </c>
      <c r="L32" s="119">
        <f t="shared" si="3"/>
        <v>-181</v>
      </c>
      <c r="M32" s="120">
        <v>627.44000000000005</v>
      </c>
      <c r="N32" s="120"/>
      <c r="O32" s="148">
        <f>1593777.89*0</f>
        <v>0</v>
      </c>
      <c r="P32" s="122" t="e">
        <f>VLOOKUP(F32,'INf. RA USD'!$M:$P,4,0)</f>
        <v>#N/A</v>
      </c>
      <c r="Q32" s="122"/>
      <c r="R32" s="123"/>
      <c r="S32" s="124" t="s">
        <v>200</v>
      </c>
      <c r="T32" s="125">
        <f t="shared" ref="T32" si="4">ROUND(M32*O32/$O$2/1000,0)</f>
        <v>0</v>
      </c>
      <c r="U32" s="126" t="e">
        <f t="shared" ref="U32" si="5">ROUND(O32*P32/$O$2/1000,0)</f>
        <v>#N/A</v>
      </c>
      <c r="V32" s="124" t="s">
        <v>104</v>
      </c>
      <c r="W32" s="144"/>
    </row>
    <row r="33" spans="1:23" s="147" customFormat="1" hidden="1" x14ac:dyDescent="0.25">
      <c r="A33" s="144"/>
      <c r="B33" s="145"/>
      <c r="C33" s="145"/>
      <c r="D33" s="146"/>
      <c r="E33" s="146"/>
      <c r="F33" s="144" t="s">
        <v>186</v>
      </c>
      <c r="G33" s="115">
        <v>43024</v>
      </c>
      <c r="H33" s="116" t="s">
        <v>64</v>
      </c>
      <c r="I33" s="117">
        <v>43041</v>
      </c>
      <c r="J33" s="118" t="s">
        <v>65</v>
      </c>
      <c r="K33" s="119">
        <f t="shared" si="2"/>
        <v>17</v>
      </c>
      <c r="L33" s="119">
        <f t="shared" si="3"/>
        <v>-195</v>
      </c>
      <c r="M33" s="120">
        <v>619.17999999999995</v>
      </c>
      <c r="N33" s="120"/>
      <c r="O33" s="148">
        <f>969023.55*0</f>
        <v>0</v>
      </c>
      <c r="P33" s="122" t="e">
        <f>VLOOKUP(F33,'INf. RA USD'!$M:$P,4,0)</f>
        <v>#N/A</v>
      </c>
      <c r="Q33" s="122"/>
      <c r="R33" s="123"/>
      <c r="S33" s="124" t="s">
        <v>156</v>
      </c>
      <c r="T33" s="125">
        <f t="shared" ref="T33" si="6">ROUND(M33*O33/$O$2/1000,0)</f>
        <v>0</v>
      </c>
      <c r="U33" s="126" t="e">
        <f t="shared" ref="U33" si="7">ROUND(O33*P33/$O$2/1000,0)</f>
        <v>#N/A</v>
      </c>
      <c r="V33" s="124" t="s">
        <v>104</v>
      </c>
      <c r="W33" s="144"/>
    </row>
    <row r="34" spans="1:23" s="247" customFormat="1" hidden="1" x14ac:dyDescent="0.25">
      <c r="A34" s="243"/>
      <c r="B34" s="244"/>
      <c r="C34" s="244"/>
      <c r="D34" s="245"/>
      <c r="E34" s="245"/>
      <c r="F34" s="243" t="s">
        <v>203</v>
      </c>
      <c r="G34" s="132">
        <v>43025</v>
      </c>
      <c r="H34" s="133" t="s">
        <v>64</v>
      </c>
      <c r="I34" s="134">
        <v>43102</v>
      </c>
      <c r="J34" s="135" t="s">
        <v>65</v>
      </c>
      <c r="K34" s="136">
        <f t="shared" si="2"/>
        <v>77</v>
      </c>
      <c r="L34" s="136">
        <f t="shared" si="3"/>
        <v>-134</v>
      </c>
      <c r="M34" s="137">
        <v>623.20000000000005</v>
      </c>
      <c r="N34" s="137"/>
      <c r="O34" s="246">
        <f>1283697.05*0</f>
        <v>0</v>
      </c>
      <c r="P34" s="139" t="e">
        <f>VLOOKUP(F34,'INf. RA USD'!$M:$P,4,0)</f>
        <v>#N/A</v>
      </c>
      <c r="Q34" s="139"/>
      <c r="R34" s="140"/>
      <c r="S34" s="141" t="s">
        <v>200</v>
      </c>
      <c r="T34" s="142">
        <f t="shared" ref="T34" si="8">ROUND(M34*O34/$O$2/1000,0)</f>
        <v>0</v>
      </c>
      <c r="U34" s="138" t="e">
        <f t="shared" ref="U34" si="9">ROUND(O34*P34/$O$2/1000,0)</f>
        <v>#N/A</v>
      </c>
      <c r="V34" s="141" t="s">
        <v>104</v>
      </c>
      <c r="W34" s="243"/>
    </row>
    <row r="35" spans="1:23" s="147" customFormat="1" hidden="1" x14ac:dyDescent="0.25">
      <c r="A35" s="144"/>
      <c r="B35" s="145"/>
      <c r="C35" s="145"/>
      <c r="D35" s="146"/>
      <c r="E35" s="146"/>
      <c r="F35" s="144" t="s">
        <v>218</v>
      </c>
      <c r="G35" s="115">
        <v>43025</v>
      </c>
      <c r="H35" s="116" t="s">
        <v>64</v>
      </c>
      <c r="I35" s="117">
        <v>43059</v>
      </c>
      <c r="J35" s="118" t="s">
        <v>65</v>
      </c>
      <c r="K35" s="119">
        <f t="shared" si="2"/>
        <v>34</v>
      </c>
      <c r="L35" s="119">
        <f t="shared" si="3"/>
        <v>-177</v>
      </c>
      <c r="M35" s="120">
        <v>623.25</v>
      </c>
      <c r="N35" s="120"/>
      <c r="O35" s="148">
        <f>1604492.58*0</f>
        <v>0</v>
      </c>
      <c r="P35" s="122" t="e">
        <f>VLOOKUP(F35,'INf. RA USD'!$M:$P,4,0)</f>
        <v>#N/A</v>
      </c>
      <c r="Q35" s="122"/>
      <c r="R35" s="123"/>
      <c r="S35" s="124" t="s">
        <v>200</v>
      </c>
      <c r="T35" s="125">
        <f t="shared" ref="T35" si="10">ROUND(M35*O35/$O$2/1000,0)</f>
        <v>0</v>
      </c>
      <c r="U35" s="126" t="e">
        <f t="shared" ref="U35" si="11">ROUND(O35*P35/$O$2/1000,0)</f>
        <v>#N/A</v>
      </c>
      <c r="V35" s="124" t="s">
        <v>104</v>
      </c>
      <c r="W35" s="144"/>
    </row>
    <row r="36" spans="1:23" s="147" customFormat="1" hidden="1" x14ac:dyDescent="0.25">
      <c r="A36" s="144"/>
      <c r="B36" s="145"/>
      <c r="C36" s="145"/>
      <c r="D36" s="146"/>
      <c r="E36" s="146"/>
      <c r="F36" s="160" t="s">
        <v>223</v>
      </c>
      <c r="G36" s="115">
        <v>43026</v>
      </c>
      <c r="H36" s="116" t="s">
        <v>64</v>
      </c>
      <c r="I36" s="117">
        <v>43039</v>
      </c>
      <c r="J36" s="118" t="s">
        <v>65</v>
      </c>
      <c r="K36" s="119">
        <f t="shared" si="2"/>
        <v>13</v>
      </c>
      <c r="L36" s="119">
        <f t="shared" si="3"/>
        <v>-197</v>
      </c>
      <c r="M36" s="120">
        <v>627.19000000000005</v>
      </c>
      <c r="N36" s="120"/>
      <c r="O36" s="148">
        <f>2391619.76*0</f>
        <v>0</v>
      </c>
      <c r="P36" s="122" t="e">
        <f>VLOOKUP(F36,'INf. RA USD'!$M:$P,4,0)</f>
        <v>#N/A</v>
      </c>
      <c r="Q36" s="122"/>
      <c r="R36" s="123"/>
      <c r="S36" s="124" t="s">
        <v>156</v>
      </c>
      <c r="T36" s="125">
        <f t="shared" ref="T36" si="12">ROUND(M36*O36/$O$2/1000,0)</f>
        <v>0</v>
      </c>
      <c r="U36" s="126" t="e">
        <f t="shared" ref="U36" si="13">ROUND(O36*P36/$O$2/1000,0)</f>
        <v>#N/A</v>
      </c>
      <c r="V36" s="124" t="s">
        <v>104</v>
      </c>
      <c r="W36" s="144"/>
    </row>
    <row r="37" spans="1:23" s="247" customFormat="1" hidden="1" x14ac:dyDescent="0.25">
      <c r="A37" s="243"/>
      <c r="B37" s="244"/>
      <c r="C37" s="244"/>
      <c r="D37" s="245"/>
      <c r="E37" s="245"/>
      <c r="F37" s="252" t="s">
        <v>226</v>
      </c>
      <c r="G37" s="132">
        <v>43032</v>
      </c>
      <c r="H37" s="133" t="s">
        <v>64</v>
      </c>
      <c r="I37" s="134">
        <v>43108</v>
      </c>
      <c r="J37" s="135" t="s">
        <v>65</v>
      </c>
      <c r="K37" s="136">
        <f t="shared" si="2"/>
        <v>76</v>
      </c>
      <c r="L37" s="136">
        <f t="shared" si="3"/>
        <v>-128</v>
      </c>
      <c r="M37" s="137">
        <v>633.30999999999995</v>
      </c>
      <c r="N37" s="137"/>
      <c r="O37" s="246">
        <f>1263204.43*0</f>
        <v>0</v>
      </c>
      <c r="P37" s="139" t="e">
        <f>VLOOKUP(F37,'INf. RA USD'!$M:$P,4,0)</f>
        <v>#N/A</v>
      </c>
      <c r="Q37" s="139"/>
      <c r="R37" s="140"/>
      <c r="S37" s="141" t="s">
        <v>156</v>
      </c>
      <c r="T37" s="142">
        <f t="shared" ref="T37" si="14">ROUND(M37*O37/$O$2/1000,0)</f>
        <v>0</v>
      </c>
      <c r="U37" s="138" t="e">
        <f t="shared" ref="U37" si="15">ROUND(O37*P37/$O$2/1000,0)</f>
        <v>#N/A</v>
      </c>
      <c r="V37" s="141" t="s">
        <v>104</v>
      </c>
      <c r="W37" s="243"/>
    </row>
    <row r="38" spans="1:23" s="247" customFormat="1" hidden="1" x14ac:dyDescent="0.25">
      <c r="A38" s="243"/>
      <c r="B38" s="244"/>
      <c r="C38" s="244"/>
      <c r="D38" s="245"/>
      <c r="E38" s="245"/>
      <c r="F38" s="252" t="s">
        <v>229</v>
      </c>
      <c r="G38" s="132">
        <v>43032</v>
      </c>
      <c r="H38" s="133" t="s">
        <v>64</v>
      </c>
      <c r="I38" s="134">
        <v>43103</v>
      </c>
      <c r="J38" s="135" t="s">
        <v>65</v>
      </c>
      <c r="K38" s="136">
        <f t="shared" si="2"/>
        <v>71</v>
      </c>
      <c r="L38" s="136">
        <f t="shared" si="3"/>
        <v>-133</v>
      </c>
      <c r="M38" s="137">
        <v>632.77</v>
      </c>
      <c r="N38" s="137"/>
      <c r="O38" s="246">
        <f>3160706.1*0</f>
        <v>0</v>
      </c>
      <c r="P38" s="139" t="e">
        <f>VLOOKUP(F38,'INf. RA USD'!$M:$P,4,0)</f>
        <v>#N/A</v>
      </c>
      <c r="Q38" s="139"/>
      <c r="R38" s="140"/>
      <c r="S38" s="141" t="s">
        <v>200</v>
      </c>
      <c r="T38" s="142">
        <f t="shared" ref="T38" si="16">ROUND(M38*O38/$O$2/1000,0)</f>
        <v>0</v>
      </c>
      <c r="U38" s="138" t="e">
        <f t="shared" ref="U38" si="17">ROUND(O38*P38/$O$2/1000,0)</f>
        <v>#N/A</v>
      </c>
      <c r="V38" s="141" t="s">
        <v>104</v>
      </c>
      <c r="W38" s="243"/>
    </row>
    <row r="39" spans="1:23" s="247" customFormat="1" hidden="1" x14ac:dyDescent="0.25">
      <c r="A39" s="243"/>
      <c r="B39" s="244"/>
      <c r="C39" s="244"/>
      <c r="D39" s="245"/>
      <c r="E39" s="245"/>
      <c r="F39" s="243" t="s">
        <v>203</v>
      </c>
      <c r="G39" s="132">
        <v>43034</v>
      </c>
      <c r="H39" s="133" t="s">
        <v>64</v>
      </c>
      <c r="I39" s="134">
        <v>43102</v>
      </c>
      <c r="J39" s="135" t="s">
        <v>65</v>
      </c>
      <c r="K39" s="136">
        <f t="shared" si="2"/>
        <v>68</v>
      </c>
      <c r="L39" s="136">
        <f t="shared" si="3"/>
        <v>-134</v>
      </c>
      <c r="M39" s="137">
        <v>630.16</v>
      </c>
      <c r="N39" s="137"/>
      <c r="O39" s="246">
        <f>1745588.42*0</f>
        <v>0</v>
      </c>
      <c r="P39" s="139" t="e">
        <f>VLOOKUP(F39,'INf. RA USD'!$M:$P,4,0)</f>
        <v>#N/A</v>
      </c>
      <c r="Q39" s="139"/>
      <c r="R39" s="140"/>
      <c r="S39" s="141" t="s">
        <v>200</v>
      </c>
      <c r="T39" s="142">
        <f t="shared" ref="T39" si="18">ROUND(M39*O39/$O$2/1000,0)</f>
        <v>0</v>
      </c>
      <c r="U39" s="138" t="e">
        <f t="shared" ref="U39" si="19">ROUND(O39*P39/$O$2/1000,0)</f>
        <v>#N/A</v>
      </c>
      <c r="V39" s="141" t="s">
        <v>104</v>
      </c>
      <c r="W39" s="243"/>
    </row>
    <row r="40" spans="1:23" s="247" customFormat="1" hidden="1" x14ac:dyDescent="0.25">
      <c r="A40" s="243"/>
      <c r="B40" s="244"/>
      <c r="C40" s="244"/>
      <c r="D40" s="245"/>
      <c r="E40" s="245"/>
      <c r="F40" s="252" t="s">
        <v>234</v>
      </c>
      <c r="G40" s="132">
        <v>43039</v>
      </c>
      <c r="H40" s="133" t="s">
        <v>64</v>
      </c>
      <c r="I40" s="134">
        <v>43073</v>
      </c>
      <c r="J40" s="135" t="s">
        <v>65</v>
      </c>
      <c r="K40" s="136">
        <f t="shared" ref="K40" si="20">+I40-G40</f>
        <v>34</v>
      </c>
      <c r="L40" s="136">
        <f t="shared" ref="L40" si="21">+I40-$H$2</f>
        <v>-163</v>
      </c>
      <c r="M40" s="137">
        <v>637.1</v>
      </c>
      <c r="N40" s="137"/>
      <c r="O40" s="246">
        <f>1141850.06*0</f>
        <v>0</v>
      </c>
      <c r="P40" s="139" t="e">
        <f>VLOOKUP(F40,'INf. RA USD'!$M:$P,4,0)</f>
        <v>#N/A</v>
      </c>
      <c r="Q40" s="139"/>
      <c r="R40" s="140"/>
      <c r="S40" s="141" t="s">
        <v>200</v>
      </c>
      <c r="T40" s="142">
        <f t="shared" ref="T40" si="22">ROUND(M40*O40/$O$2/1000,0)</f>
        <v>0</v>
      </c>
      <c r="U40" s="138" t="e">
        <f t="shared" ref="U40" si="23">ROUND(O40*P40/$O$2/1000,0)</f>
        <v>#N/A</v>
      </c>
      <c r="V40" s="141" t="s">
        <v>104</v>
      </c>
      <c r="W40" s="243"/>
    </row>
    <row r="41" spans="1:23" s="247" customFormat="1" hidden="1" x14ac:dyDescent="0.25">
      <c r="A41" s="243"/>
      <c r="B41" s="244"/>
      <c r="C41" s="244"/>
      <c r="D41" s="245"/>
      <c r="E41" s="245"/>
      <c r="F41" s="252" t="s">
        <v>235</v>
      </c>
      <c r="G41" s="132">
        <v>43039</v>
      </c>
      <c r="H41" s="133" t="s">
        <v>64</v>
      </c>
      <c r="I41" s="134">
        <v>43069</v>
      </c>
      <c r="J41" s="135" t="s">
        <v>65</v>
      </c>
      <c r="K41" s="136">
        <f t="shared" ref="K41" si="24">+I41-G41</f>
        <v>30</v>
      </c>
      <c r="L41" s="136">
        <f t="shared" ref="L41" si="25">+I41-$H$2</f>
        <v>-167</v>
      </c>
      <c r="M41" s="137">
        <v>637.78</v>
      </c>
      <c r="N41" s="137"/>
      <c r="O41" s="246">
        <f>1411144.91*0</f>
        <v>0</v>
      </c>
      <c r="P41" s="139" t="e">
        <f>VLOOKUP(F41,'INf. RA USD'!$M:$P,4,0)</f>
        <v>#N/A</v>
      </c>
      <c r="Q41" s="139"/>
      <c r="R41" s="140"/>
      <c r="S41" s="141" t="s">
        <v>200</v>
      </c>
      <c r="T41" s="142">
        <f t="shared" ref="T41" si="26">ROUND(M41*O41/$O$2/1000,0)</f>
        <v>0</v>
      </c>
      <c r="U41" s="138" t="e">
        <f t="shared" ref="U41" si="27">ROUND(O41*P41/$O$2/1000,0)</f>
        <v>#N/A</v>
      </c>
      <c r="V41" s="141" t="s">
        <v>104</v>
      </c>
      <c r="W41" s="243"/>
    </row>
    <row r="42" spans="1:23" s="247" customFormat="1" hidden="1" x14ac:dyDescent="0.25">
      <c r="A42" s="243"/>
      <c r="B42" s="244"/>
      <c r="C42" s="244"/>
      <c r="D42" s="245"/>
      <c r="E42" s="245"/>
      <c r="F42" s="252" t="s">
        <v>240</v>
      </c>
      <c r="G42" s="132">
        <v>43041</v>
      </c>
      <c r="H42" s="133" t="s">
        <v>64</v>
      </c>
      <c r="I42" s="134">
        <v>43084</v>
      </c>
      <c r="J42" s="135" t="s">
        <v>65</v>
      </c>
      <c r="K42" s="136">
        <f t="shared" ref="K42" si="28">+I42-G42</f>
        <v>43</v>
      </c>
      <c r="L42" s="136">
        <f t="shared" ref="L42" si="29">+I42-$H$2</f>
        <v>-152</v>
      </c>
      <c r="M42" s="137">
        <v>632.38</v>
      </c>
      <c r="N42" s="137"/>
      <c r="O42" s="246">
        <f>1907081.19*0</f>
        <v>0</v>
      </c>
      <c r="P42" s="139" t="e">
        <f>VLOOKUP(F42,'INf. RA USD'!$M:$P,4,0)</f>
        <v>#N/A</v>
      </c>
      <c r="Q42" s="139"/>
      <c r="R42" s="140"/>
      <c r="S42" s="141" t="s">
        <v>156</v>
      </c>
      <c r="T42" s="142">
        <f t="shared" ref="T42" si="30">ROUND(M42*O42/$O$2/1000,0)</f>
        <v>0</v>
      </c>
      <c r="U42" s="138" t="e">
        <f t="shared" ref="U42" si="31">ROUND(O42*P42/$O$2/1000,0)</f>
        <v>#N/A</v>
      </c>
      <c r="V42" s="141" t="s">
        <v>104</v>
      </c>
      <c r="W42" s="243"/>
    </row>
    <row r="43" spans="1:23" s="247" customFormat="1" hidden="1" x14ac:dyDescent="0.25">
      <c r="A43" s="243"/>
      <c r="B43" s="244"/>
      <c r="C43" s="244"/>
      <c r="D43" s="245"/>
      <c r="E43" s="245"/>
      <c r="F43" s="252" t="s">
        <v>241</v>
      </c>
      <c r="G43" s="132">
        <v>43041</v>
      </c>
      <c r="H43" s="133" t="s">
        <v>64</v>
      </c>
      <c r="I43" s="134">
        <v>43070</v>
      </c>
      <c r="J43" s="135" t="s">
        <v>65</v>
      </c>
      <c r="K43" s="136">
        <f t="shared" ref="K43" si="32">+I43-G43</f>
        <v>29</v>
      </c>
      <c r="L43" s="136">
        <f t="shared" ref="L43" si="33">+I43-$H$2</f>
        <v>-166</v>
      </c>
      <c r="M43" s="137">
        <v>633.25</v>
      </c>
      <c r="N43" s="137"/>
      <c r="O43" s="246">
        <f>3947887.88*0</f>
        <v>0</v>
      </c>
      <c r="P43" s="139" t="e">
        <f>VLOOKUP(F43,'INf. RA USD'!$M:$P,4,0)</f>
        <v>#N/A</v>
      </c>
      <c r="Q43" s="139"/>
      <c r="R43" s="140"/>
      <c r="S43" s="141" t="s">
        <v>76</v>
      </c>
      <c r="T43" s="142">
        <f t="shared" ref="T43" si="34">ROUND(M43*O43/$O$2/1000,0)</f>
        <v>0</v>
      </c>
      <c r="U43" s="138" t="e">
        <f t="shared" ref="U43" si="35">ROUND(O43*P43/$O$2/1000,0)</f>
        <v>#N/A</v>
      </c>
      <c r="V43" s="141" t="s">
        <v>104</v>
      </c>
      <c r="W43" s="243"/>
    </row>
    <row r="44" spans="1:23" s="247" customFormat="1" hidden="1" x14ac:dyDescent="0.25">
      <c r="A44" s="243"/>
      <c r="B44" s="244"/>
      <c r="C44" s="244"/>
      <c r="D44" s="245"/>
      <c r="E44" s="245"/>
      <c r="F44" s="252" t="s">
        <v>249</v>
      </c>
      <c r="G44" s="132">
        <v>43042</v>
      </c>
      <c r="H44" s="133" t="s">
        <v>64</v>
      </c>
      <c r="I44" s="134">
        <v>43075</v>
      </c>
      <c r="J44" s="135" t="s">
        <v>65</v>
      </c>
      <c r="K44" s="136">
        <f t="shared" ref="K44" si="36">+I44-G44</f>
        <v>33</v>
      </c>
      <c r="L44" s="136">
        <f t="shared" ref="L44" si="37">+I44-$H$2</f>
        <v>-161</v>
      </c>
      <c r="M44" s="137">
        <v>633.29</v>
      </c>
      <c r="N44" s="137"/>
      <c r="O44" s="246">
        <f>868480.47*0</f>
        <v>0</v>
      </c>
      <c r="P44" s="139" t="e">
        <f>VLOOKUP(F44,'INf. RA USD'!$M:$P,4,0)</f>
        <v>#N/A</v>
      </c>
      <c r="Q44" s="139"/>
      <c r="R44" s="140"/>
      <c r="S44" s="141" t="s">
        <v>200</v>
      </c>
      <c r="T44" s="142">
        <f t="shared" ref="T44" si="38">ROUND(M44*O44/$O$2/1000,0)</f>
        <v>0</v>
      </c>
      <c r="U44" s="138" t="e">
        <f t="shared" ref="U44" si="39">ROUND(O44*P44/$O$2/1000,0)</f>
        <v>#N/A</v>
      </c>
      <c r="V44" s="141" t="s">
        <v>104</v>
      </c>
      <c r="W44" s="243"/>
    </row>
    <row r="45" spans="1:23" s="247" customFormat="1" hidden="1" x14ac:dyDescent="0.25">
      <c r="A45" s="243"/>
      <c r="B45" s="244"/>
      <c r="C45" s="244"/>
      <c r="D45" s="245"/>
      <c r="E45" s="245"/>
      <c r="F45" s="252" t="s">
        <v>249</v>
      </c>
      <c r="G45" s="132">
        <v>43046</v>
      </c>
      <c r="H45" s="133" t="s">
        <v>64</v>
      </c>
      <c r="I45" s="134">
        <v>43075</v>
      </c>
      <c r="J45" s="135" t="s">
        <v>65</v>
      </c>
      <c r="K45" s="136">
        <f t="shared" ref="K45" si="40">+I45-G45</f>
        <v>29</v>
      </c>
      <c r="L45" s="136">
        <f t="shared" ref="L45" si="41">+I45-$H$2</f>
        <v>-161</v>
      </c>
      <c r="M45" s="137">
        <v>633.28</v>
      </c>
      <c r="N45" s="137"/>
      <c r="O45" s="246">
        <f>2842344.62*0</f>
        <v>0</v>
      </c>
      <c r="P45" s="139" t="e">
        <f>VLOOKUP(F45,'INf. RA USD'!$M:$P,4,0)</f>
        <v>#N/A</v>
      </c>
      <c r="Q45" s="139"/>
      <c r="R45" s="140"/>
      <c r="S45" s="141" t="s">
        <v>200</v>
      </c>
      <c r="T45" s="142">
        <f t="shared" ref="T45" si="42">ROUND(M45*O45/$O$2/1000,0)</f>
        <v>0</v>
      </c>
      <c r="U45" s="138" t="e">
        <f t="shared" ref="U45" si="43">ROUND(O45*P45/$O$2/1000,0)</f>
        <v>#N/A</v>
      </c>
      <c r="V45" s="141" t="s">
        <v>104</v>
      </c>
      <c r="W45" s="243"/>
    </row>
    <row r="46" spans="1:23" s="247" customFormat="1" hidden="1" x14ac:dyDescent="0.25">
      <c r="A46" s="243"/>
      <c r="B46" s="244"/>
      <c r="C46" s="244"/>
      <c r="D46" s="245"/>
      <c r="E46" s="245"/>
      <c r="F46" s="252" t="s">
        <v>255</v>
      </c>
      <c r="G46" s="132">
        <v>43063</v>
      </c>
      <c r="H46" s="133" t="s">
        <v>64</v>
      </c>
      <c r="I46" s="134">
        <v>43083</v>
      </c>
      <c r="J46" s="135" t="s">
        <v>65</v>
      </c>
      <c r="K46" s="136">
        <f t="shared" ref="K46" si="44">+I46-G46</f>
        <v>20</v>
      </c>
      <c r="L46" s="136">
        <f t="shared" ref="L46" si="45">+I46-$H$2</f>
        <v>-153</v>
      </c>
      <c r="M46" s="137">
        <v>633.5</v>
      </c>
      <c r="N46" s="137"/>
      <c r="O46" s="246">
        <f>947119.18*0</f>
        <v>0</v>
      </c>
      <c r="P46" s="139" t="e">
        <f>VLOOKUP(F46,'INf. RA USD'!$M:$P,4,0)</f>
        <v>#N/A</v>
      </c>
      <c r="Q46" s="139"/>
      <c r="R46" s="140"/>
      <c r="S46" s="141" t="s">
        <v>200</v>
      </c>
      <c r="T46" s="142">
        <f t="shared" ref="T46" si="46">ROUND(M46*O46/$O$2/1000,0)</f>
        <v>0</v>
      </c>
      <c r="U46" s="138" t="e">
        <f t="shared" ref="U46" si="47">ROUND(O46*P46/$O$2/1000,0)</f>
        <v>#N/A</v>
      </c>
      <c r="V46" s="141" t="s">
        <v>104</v>
      </c>
      <c r="W46" s="243"/>
    </row>
    <row r="47" spans="1:23" s="247" customFormat="1" hidden="1" x14ac:dyDescent="0.25">
      <c r="A47" s="243"/>
      <c r="B47" s="244"/>
      <c r="C47" s="244"/>
      <c r="D47" s="245"/>
      <c r="E47" s="245"/>
      <c r="F47" s="252" t="s">
        <v>259</v>
      </c>
      <c r="G47" s="132">
        <v>43066</v>
      </c>
      <c r="H47" s="133" t="s">
        <v>64</v>
      </c>
      <c r="I47" s="134">
        <v>43096</v>
      </c>
      <c r="J47" s="135" t="s">
        <v>65</v>
      </c>
      <c r="K47" s="136">
        <f t="shared" ref="K47" si="48">+I47-G47</f>
        <v>30</v>
      </c>
      <c r="L47" s="136">
        <f t="shared" ref="L47" si="49">+I47-$H$2</f>
        <v>-140</v>
      </c>
      <c r="M47" s="137">
        <v>635.4</v>
      </c>
      <c r="N47" s="137"/>
      <c r="O47" s="246">
        <f>1259049.42*0</f>
        <v>0</v>
      </c>
      <c r="P47" s="139" t="e">
        <f>VLOOKUP(F47,'INf. RA USD'!$M:$P,4,0)</f>
        <v>#N/A</v>
      </c>
      <c r="Q47" s="139"/>
      <c r="R47" s="140"/>
      <c r="S47" s="141" t="s">
        <v>200</v>
      </c>
      <c r="T47" s="142">
        <f t="shared" ref="T47" si="50">ROUND(M47*O47/$O$2/1000,0)</f>
        <v>0</v>
      </c>
      <c r="U47" s="138" t="e">
        <f t="shared" ref="U47" si="51">ROUND(O47*P47/$O$2/1000,0)</f>
        <v>#N/A</v>
      </c>
      <c r="V47" s="141" t="s">
        <v>104</v>
      </c>
      <c r="W47" s="243"/>
    </row>
    <row r="48" spans="1:23" s="247" customFormat="1" hidden="1" x14ac:dyDescent="0.25">
      <c r="A48" s="243"/>
      <c r="B48" s="244"/>
      <c r="C48" s="244"/>
      <c r="D48" s="245"/>
      <c r="E48" s="245"/>
      <c r="F48" s="252" t="s">
        <v>262</v>
      </c>
      <c r="G48" s="132">
        <v>43069</v>
      </c>
      <c r="H48" s="133" t="s">
        <v>64</v>
      </c>
      <c r="I48" s="134">
        <v>43104</v>
      </c>
      <c r="J48" s="135" t="s">
        <v>65</v>
      </c>
      <c r="K48" s="136">
        <f t="shared" ref="K48" si="52">+I48-G48</f>
        <v>35</v>
      </c>
      <c r="L48" s="136">
        <f t="shared" ref="L48" si="53">+I48-$H$2</f>
        <v>-132</v>
      </c>
      <c r="M48" s="137">
        <v>644.91</v>
      </c>
      <c r="N48" s="137"/>
      <c r="O48" s="246">
        <f>1550603.96*0</f>
        <v>0</v>
      </c>
      <c r="P48" s="139" t="e">
        <f>VLOOKUP(F48,'INf. RA USD'!$M:$P,4,0)</f>
        <v>#N/A</v>
      </c>
      <c r="Q48" s="139"/>
      <c r="R48" s="140"/>
      <c r="S48" s="141" t="s">
        <v>156</v>
      </c>
      <c r="T48" s="142">
        <f t="shared" ref="T48" si="54">ROUND(M48*O48/$O$2/1000,0)</f>
        <v>0</v>
      </c>
      <c r="U48" s="138" t="e">
        <f t="shared" ref="U48" si="55">ROUND(O48*P48/$O$2/1000,0)</f>
        <v>#N/A</v>
      </c>
      <c r="V48" s="141" t="s">
        <v>104</v>
      </c>
      <c r="W48" s="243"/>
    </row>
    <row r="49" spans="1:23" s="247" customFormat="1" hidden="1" x14ac:dyDescent="0.25">
      <c r="A49" s="243"/>
      <c r="B49" s="244"/>
      <c r="C49" s="244"/>
      <c r="D49" s="245"/>
      <c r="E49" s="245"/>
      <c r="F49" s="252" t="s">
        <v>265</v>
      </c>
      <c r="G49" s="132">
        <v>43070</v>
      </c>
      <c r="H49" s="133" t="s">
        <v>64</v>
      </c>
      <c r="I49" s="134">
        <v>43105</v>
      </c>
      <c r="J49" s="135" t="s">
        <v>65</v>
      </c>
      <c r="K49" s="136">
        <f t="shared" ref="K49" si="56">+I49-G49</f>
        <v>35</v>
      </c>
      <c r="L49" s="136">
        <f t="shared" ref="L49" si="57">+I49-$H$2</f>
        <v>-131</v>
      </c>
      <c r="M49" s="137">
        <v>649.55999999999995</v>
      </c>
      <c r="N49" s="137"/>
      <c r="O49" s="246">
        <f>923702.2*0</f>
        <v>0</v>
      </c>
      <c r="P49" s="139" t="e">
        <f>VLOOKUP(F49,'INf. RA USD'!$M:$P,4,0)</f>
        <v>#N/A</v>
      </c>
      <c r="Q49" s="139"/>
      <c r="R49" s="140"/>
      <c r="S49" s="141" t="s">
        <v>200</v>
      </c>
      <c r="T49" s="142">
        <f t="shared" ref="T49" si="58">ROUND(M49*O49/$O$2/1000,0)</f>
        <v>0</v>
      </c>
      <c r="U49" s="138" t="e">
        <f t="shared" ref="U49" si="59">ROUND(O49*P49/$O$2/1000,0)</f>
        <v>#N/A</v>
      </c>
      <c r="V49" s="141" t="s">
        <v>104</v>
      </c>
      <c r="W49" s="243"/>
    </row>
    <row r="50" spans="1:23" s="247" customFormat="1" hidden="1" x14ac:dyDescent="0.25">
      <c r="A50" s="243"/>
      <c r="B50" s="244"/>
      <c r="C50" s="244"/>
      <c r="D50" s="245"/>
      <c r="E50" s="245"/>
      <c r="F50" s="252" t="s">
        <v>265</v>
      </c>
      <c r="G50" s="132">
        <v>43070</v>
      </c>
      <c r="H50" s="133" t="s">
        <v>64</v>
      </c>
      <c r="I50" s="134">
        <v>43105</v>
      </c>
      <c r="J50" s="135" t="s">
        <v>65</v>
      </c>
      <c r="K50" s="136">
        <f t="shared" ref="K50" si="60">+I50-G50</f>
        <v>35</v>
      </c>
      <c r="L50" s="136">
        <f t="shared" ref="L50" si="61">+I50-$H$2</f>
        <v>-131</v>
      </c>
      <c r="M50" s="137">
        <v>649.55999999999995</v>
      </c>
      <c r="N50" s="137"/>
      <c r="O50" s="246">
        <f>1539503.66*0</f>
        <v>0</v>
      </c>
      <c r="P50" s="139" t="e">
        <f>VLOOKUP(F50,'INf. RA USD'!$M:$P,4,0)</f>
        <v>#N/A</v>
      </c>
      <c r="Q50" s="139"/>
      <c r="R50" s="140"/>
      <c r="S50" s="141" t="s">
        <v>200</v>
      </c>
      <c r="T50" s="142">
        <f t="shared" ref="T50" si="62">ROUND(M50*O50/$O$2/1000,0)</f>
        <v>0</v>
      </c>
      <c r="U50" s="138" t="e">
        <f t="shared" ref="U50" si="63">ROUND(O50*P50/$O$2/1000,0)</f>
        <v>#N/A</v>
      </c>
      <c r="V50" s="141" t="s">
        <v>104</v>
      </c>
      <c r="W50" s="243"/>
    </row>
    <row r="51" spans="1:23" s="247" customFormat="1" hidden="1" x14ac:dyDescent="0.25">
      <c r="A51" s="243"/>
      <c r="B51" s="244"/>
      <c r="C51" s="244"/>
      <c r="D51" s="245"/>
      <c r="E51" s="245"/>
      <c r="F51" s="252" t="s">
        <v>262</v>
      </c>
      <c r="G51" s="132">
        <v>43074</v>
      </c>
      <c r="H51" s="133" t="s">
        <v>64</v>
      </c>
      <c r="I51" s="134">
        <v>43104</v>
      </c>
      <c r="J51" s="135" t="s">
        <v>65</v>
      </c>
      <c r="K51" s="136">
        <f t="shared" ref="K51" si="64">+I51-G51</f>
        <v>30</v>
      </c>
      <c r="L51" s="136">
        <f t="shared" ref="L51" si="65">+I51-$H$2</f>
        <v>-132</v>
      </c>
      <c r="M51" s="137">
        <v>652.87</v>
      </c>
      <c r="N51" s="137"/>
      <c r="O51" s="246">
        <f>1102822.92*0</f>
        <v>0</v>
      </c>
      <c r="P51" s="139" t="e">
        <f>VLOOKUP(F51,'INf. RA USD'!$M:$P,4,0)</f>
        <v>#N/A</v>
      </c>
      <c r="Q51" s="139"/>
      <c r="R51" s="140"/>
      <c r="S51" s="141" t="s">
        <v>156</v>
      </c>
      <c r="T51" s="142">
        <f t="shared" ref="T51" si="66">ROUND(M51*O51/$O$2/1000,0)</f>
        <v>0</v>
      </c>
      <c r="U51" s="138" t="e">
        <f t="shared" ref="U51" si="67">ROUND(O51*P51/$O$2/1000,0)</f>
        <v>#N/A</v>
      </c>
      <c r="V51" s="141" t="s">
        <v>104</v>
      </c>
      <c r="W51" s="243"/>
    </row>
    <row r="52" spans="1:23" s="247" customFormat="1" hidden="1" x14ac:dyDescent="0.25">
      <c r="A52" s="243"/>
      <c r="B52" s="244"/>
      <c r="C52" s="244"/>
      <c r="D52" s="245"/>
      <c r="E52" s="245"/>
      <c r="F52" s="252" t="s">
        <v>240</v>
      </c>
      <c r="G52" s="132">
        <v>43075</v>
      </c>
      <c r="H52" s="133" t="s">
        <v>64</v>
      </c>
      <c r="I52" s="134">
        <v>43084</v>
      </c>
      <c r="J52" s="135" t="s">
        <v>65</v>
      </c>
      <c r="K52" s="136">
        <f t="shared" ref="K52" si="68">+I52-G52</f>
        <v>9</v>
      </c>
      <c r="L52" s="136">
        <f t="shared" ref="L52" si="69">+I52-$H$2</f>
        <v>-152</v>
      </c>
      <c r="M52" s="137">
        <v>654.79999999999995</v>
      </c>
      <c r="N52" s="137"/>
      <c r="O52" s="246">
        <f>763591.84*0</f>
        <v>0</v>
      </c>
      <c r="P52" s="139" t="e">
        <f>VLOOKUP(F52,'INf. RA USD'!$M:$P,4,0)</f>
        <v>#N/A</v>
      </c>
      <c r="Q52" s="139"/>
      <c r="R52" s="140"/>
      <c r="S52" s="141" t="s">
        <v>200</v>
      </c>
      <c r="T52" s="142">
        <f t="shared" ref="T52" si="70">ROUND(M52*O52/$O$2/1000,0)</f>
        <v>0</v>
      </c>
      <c r="U52" s="138" t="e">
        <f t="shared" ref="U52" si="71">ROUND(O52*P52/$O$2/1000,0)</f>
        <v>#N/A</v>
      </c>
      <c r="V52" s="141" t="s">
        <v>104</v>
      </c>
      <c r="W52" s="243"/>
    </row>
    <row r="53" spans="1:23" s="247" customFormat="1" hidden="1" x14ac:dyDescent="0.25">
      <c r="A53" s="243"/>
      <c r="B53" s="244"/>
      <c r="C53" s="244"/>
      <c r="D53" s="245"/>
      <c r="E53" s="245"/>
      <c r="F53" s="252" t="s">
        <v>255</v>
      </c>
      <c r="G53" s="132">
        <v>43075</v>
      </c>
      <c r="H53" s="133" t="s">
        <v>64</v>
      </c>
      <c r="I53" s="134">
        <v>43083</v>
      </c>
      <c r="J53" s="135" t="s">
        <v>65</v>
      </c>
      <c r="K53" s="136">
        <f t="shared" ref="K53" si="72">+I53-G53</f>
        <v>8</v>
      </c>
      <c r="L53" s="136">
        <f t="shared" ref="L53" si="73">+I53-$H$2</f>
        <v>-153</v>
      </c>
      <c r="M53" s="137">
        <v>654.79999999999995</v>
      </c>
      <c r="N53" s="137"/>
      <c r="O53" s="246">
        <f>1374465.49*0</f>
        <v>0</v>
      </c>
      <c r="P53" s="139" t="e">
        <f>VLOOKUP(F53,'INf. RA USD'!$M:$P,4,0)</f>
        <v>#N/A</v>
      </c>
      <c r="Q53" s="139"/>
      <c r="R53" s="140"/>
      <c r="S53" s="141" t="s">
        <v>200</v>
      </c>
      <c r="T53" s="142">
        <f t="shared" ref="T53" si="74">ROUND(M53*O53/$O$2/1000,0)</f>
        <v>0</v>
      </c>
      <c r="U53" s="138" t="e">
        <f t="shared" ref="U53" si="75">ROUND(O53*P53/$O$2/1000,0)</f>
        <v>#N/A</v>
      </c>
      <c r="V53" s="141" t="s">
        <v>104</v>
      </c>
      <c r="W53" s="243"/>
    </row>
    <row r="54" spans="1:23" s="247" customFormat="1" hidden="1" x14ac:dyDescent="0.25">
      <c r="A54" s="243"/>
      <c r="B54" s="244"/>
      <c r="C54" s="244"/>
      <c r="D54" s="245"/>
      <c r="E54" s="245"/>
      <c r="F54" s="252" t="s">
        <v>226</v>
      </c>
      <c r="G54" s="132">
        <v>43076</v>
      </c>
      <c r="H54" s="133" t="s">
        <v>64</v>
      </c>
      <c r="I54" s="134">
        <v>43108</v>
      </c>
      <c r="J54" s="135" t="s">
        <v>65</v>
      </c>
      <c r="K54" s="136">
        <f t="shared" ref="K54" si="76">+I54-G54</f>
        <v>32</v>
      </c>
      <c r="L54" s="136">
        <f t="shared" ref="L54" si="77">+I54-$H$2</f>
        <v>-128</v>
      </c>
      <c r="M54" s="137">
        <v>655.93</v>
      </c>
      <c r="N54" s="137"/>
      <c r="O54" s="246">
        <f>3049105.85*0</f>
        <v>0</v>
      </c>
      <c r="P54" s="139" t="e">
        <f>VLOOKUP(F54,'INf. RA USD'!$M:$P,4,0)</f>
        <v>#N/A</v>
      </c>
      <c r="Q54" s="139"/>
      <c r="R54" s="140"/>
      <c r="S54" s="141" t="s">
        <v>156</v>
      </c>
      <c r="T54" s="142">
        <f t="shared" ref="T54" si="78">ROUND(M54*O54/$O$2/1000,0)</f>
        <v>0</v>
      </c>
      <c r="U54" s="138" t="e">
        <f t="shared" ref="U54" si="79">ROUND(O54*P54/$O$2/1000,0)</f>
        <v>#N/A</v>
      </c>
      <c r="V54" s="141" t="s">
        <v>104</v>
      </c>
      <c r="W54" s="243"/>
    </row>
    <row r="55" spans="1:23" s="147" customFormat="1" hidden="1" x14ac:dyDescent="0.25">
      <c r="A55" s="144"/>
      <c r="B55" s="145"/>
      <c r="C55" s="145"/>
      <c r="D55" s="146"/>
      <c r="E55" s="146"/>
      <c r="F55" s="160" t="s">
        <v>257</v>
      </c>
      <c r="G55" s="115">
        <v>43080</v>
      </c>
      <c r="H55" s="116" t="s">
        <v>64</v>
      </c>
      <c r="I55" s="117">
        <v>43088</v>
      </c>
      <c r="J55" s="118" t="s">
        <v>65</v>
      </c>
      <c r="K55" s="119">
        <f t="shared" ref="K55" si="80">+I55-G55</f>
        <v>8</v>
      </c>
      <c r="L55" s="119">
        <f t="shared" ref="L55" si="81">+I55-$H$2</f>
        <v>-148</v>
      </c>
      <c r="M55" s="120">
        <v>655.97</v>
      </c>
      <c r="N55" s="120"/>
      <c r="O55" s="148">
        <f>1524459.96*0</f>
        <v>0</v>
      </c>
      <c r="P55" s="122" t="e">
        <f>VLOOKUP(F55,'INf. RA USD'!$M:$P,4,0)</f>
        <v>#N/A</v>
      </c>
      <c r="Q55" s="122"/>
      <c r="R55" s="123"/>
      <c r="S55" s="124" t="s">
        <v>156</v>
      </c>
      <c r="T55" s="125">
        <f t="shared" ref="T55" si="82">ROUND(M55*O55/$O$2/1000,0)</f>
        <v>0</v>
      </c>
      <c r="U55" s="126" t="e">
        <f t="shared" ref="U55" si="83">ROUND(O55*P55/$O$2/1000,0)</f>
        <v>#N/A</v>
      </c>
      <c r="V55" s="124" t="s">
        <v>104</v>
      </c>
      <c r="W55" s="144"/>
    </row>
    <row r="56" spans="1:23" s="147" customFormat="1" hidden="1" x14ac:dyDescent="0.25">
      <c r="A56" s="144"/>
      <c r="B56" s="145"/>
      <c r="C56" s="145"/>
      <c r="D56" s="146"/>
      <c r="E56" s="146"/>
      <c r="F56" s="160" t="s">
        <v>274</v>
      </c>
      <c r="G56" s="115">
        <v>43080</v>
      </c>
      <c r="H56" s="116" t="s">
        <v>64</v>
      </c>
      <c r="I56" s="117">
        <v>43089</v>
      </c>
      <c r="J56" s="118" t="s">
        <v>65</v>
      </c>
      <c r="K56" s="119">
        <f t="shared" ref="K56" si="84">+I56-G56</f>
        <v>9</v>
      </c>
      <c r="L56" s="119">
        <f t="shared" ref="L56" si="85">+I56-$H$2</f>
        <v>-147</v>
      </c>
      <c r="M56" s="120">
        <v>655.95</v>
      </c>
      <c r="N56" s="120"/>
      <c r="O56" s="148">
        <f>1524506.44*0</f>
        <v>0</v>
      </c>
      <c r="P56" s="122" t="e">
        <f>VLOOKUP(F56,'INf. RA USD'!$M:$P,4,0)</f>
        <v>#N/A</v>
      </c>
      <c r="Q56" s="122"/>
      <c r="R56" s="123"/>
      <c r="S56" s="124" t="s">
        <v>156</v>
      </c>
      <c r="T56" s="125">
        <f t="shared" ref="T56" si="86">ROUND(M56*O56/$O$2/1000,0)</f>
        <v>0</v>
      </c>
      <c r="U56" s="126" t="e">
        <f t="shared" ref="U56" si="87">ROUND(O56*P56/$O$2/1000,0)</f>
        <v>#N/A</v>
      </c>
      <c r="V56" s="124" t="s">
        <v>104</v>
      </c>
      <c r="W56" s="144"/>
    </row>
    <row r="57" spans="1:23" s="257" customFormat="1" hidden="1" x14ac:dyDescent="0.25">
      <c r="A57" s="254"/>
      <c r="B57" s="255"/>
      <c r="C57" s="255"/>
      <c r="D57" s="256"/>
      <c r="E57" s="256"/>
      <c r="F57" s="160" t="str">
        <f>+"FWC*P"&amp;TEXT(I57,"DDMMYY")</f>
        <v>FWC*P221217</v>
      </c>
      <c r="G57" s="115">
        <v>43081</v>
      </c>
      <c r="H57" s="116" t="s">
        <v>64</v>
      </c>
      <c r="I57" s="117">
        <v>43091</v>
      </c>
      <c r="J57" s="118" t="s">
        <v>65</v>
      </c>
      <c r="K57" s="119">
        <f t="shared" ref="K57" si="88">+I57-G57</f>
        <v>10</v>
      </c>
      <c r="L57" s="119">
        <f t="shared" ref="L57" si="89">+I57-$H$2</f>
        <v>-145</v>
      </c>
      <c r="M57" s="120">
        <v>655.67</v>
      </c>
      <c r="N57" s="120"/>
      <c r="O57" s="148">
        <f>1220125.98*0</f>
        <v>0</v>
      </c>
      <c r="P57" s="122" t="e">
        <f>VLOOKUP(F57,'INf. RA USD'!$M:$P,4,0)</f>
        <v>#N/A</v>
      </c>
      <c r="Q57" s="122"/>
      <c r="R57" s="123"/>
      <c r="S57" s="124" t="s">
        <v>200</v>
      </c>
      <c r="T57" s="125">
        <f t="shared" ref="T57" si="90">ROUND(M57*O57/$O$2/1000,0)</f>
        <v>0</v>
      </c>
      <c r="U57" s="126" t="e">
        <f t="shared" ref="U57" si="91">ROUND(O57*P57/$O$2/1000,0)</f>
        <v>#N/A</v>
      </c>
      <c r="V57" s="124" t="s">
        <v>104</v>
      </c>
      <c r="W57" s="254"/>
    </row>
    <row r="58" spans="1:23" s="257" customFormat="1" hidden="1" x14ac:dyDescent="0.25">
      <c r="A58" s="254"/>
      <c r="B58" s="255"/>
      <c r="C58" s="255"/>
      <c r="D58" s="256"/>
      <c r="E58" s="256"/>
      <c r="F58" s="160" t="s">
        <v>277</v>
      </c>
      <c r="G58" s="115">
        <v>43091</v>
      </c>
      <c r="H58" s="116" t="s">
        <v>64</v>
      </c>
      <c r="I58" s="117">
        <v>43124</v>
      </c>
      <c r="J58" s="118" t="s">
        <v>65</v>
      </c>
      <c r="K58" s="119">
        <f t="shared" ref="K58" si="92">+I58-G58</f>
        <v>33</v>
      </c>
      <c r="L58" s="119">
        <f t="shared" ref="L58" si="93">+I58-$H$2</f>
        <v>-112</v>
      </c>
      <c r="M58" s="120">
        <v>622</v>
      </c>
      <c r="N58" s="120"/>
      <c r="O58" s="148">
        <f>1286173.63*0</f>
        <v>0</v>
      </c>
      <c r="P58" s="122" t="e">
        <f>VLOOKUP(F58,'INf. RA USD'!$M:$P,4,0)</f>
        <v>#N/A</v>
      </c>
      <c r="Q58" s="122"/>
      <c r="R58" s="123"/>
      <c r="S58" s="124" t="s">
        <v>156</v>
      </c>
      <c r="T58" s="125">
        <f t="shared" ref="T58" si="94">ROUND(M58*O58/$O$2/1000,0)</f>
        <v>0</v>
      </c>
      <c r="U58" s="126" t="e">
        <f t="shared" ref="U58" si="95">ROUND(O58*P58/$O$2/1000,0)</f>
        <v>#N/A</v>
      </c>
      <c r="V58" s="124" t="s">
        <v>104</v>
      </c>
      <c r="W58" s="254"/>
    </row>
    <row r="59" spans="1:23" s="257" customFormat="1" hidden="1" x14ac:dyDescent="0.25">
      <c r="A59" s="254"/>
      <c r="B59" s="255"/>
      <c r="C59" s="255"/>
      <c r="D59" s="256"/>
      <c r="E59" s="256"/>
      <c r="F59" s="160" t="s">
        <v>278</v>
      </c>
      <c r="G59" s="115">
        <v>43095</v>
      </c>
      <c r="H59" s="116" t="s">
        <v>64</v>
      </c>
      <c r="I59" s="117">
        <v>43136</v>
      </c>
      <c r="J59" s="118" t="s">
        <v>65</v>
      </c>
      <c r="K59" s="119">
        <f t="shared" ref="K59" si="96">+I59-G59</f>
        <v>41</v>
      </c>
      <c r="L59" s="119">
        <f t="shared" ref="L59" si="97">+I59-$H$2</f>
        <v>-100</v>
      </c>
      <c r="M59" s="120">
        <v>618.47</v>
      </c>
      <c r="N59" s="120"/>
      <c r="O59" s="148">
        <f>2587029.28*0</f>
        <v>0</v>
      </c>
      <c r="P59" s="122" t="e">
        <f>VLOOKUP(F59,'INf. RA USD'!$M:$P,4,0)</f>
        <v>#N/A</v>
      </c>
      <c r="Q59" s="122"/>
      <c r="R59" s="123"/>
      <c r="S59" s="124" t="s">
        <v>156</v>
      </c>
      <c r="T59" s="125">
        <f t="shared" ref="T59" si="98">ROUND(M59*O59/$O$2/1000,0)</f>
        <v>0</v>
      </c>
      <c r="U59" s="126" t="e">
        <f t="shared" ref="U59" si="99">ROUND(O59*P59/$O$2/1000,0)</f>
        <v>#N/A</v>
      </c>
      <c r="V59" s="124" t="s">
        <v>104</v>
      </c>
      <c r="W59" s="254"/>
    </row>
    <row r="60" spans="1:23" s="257" customFormat="1" hidden="1" x14ac:dyDescent="0.25">
      <c r="A60" s="254"/>
      <c r="B60" s="255"/>
      <c r="C60" s="255"/>
      <c r="D60" s="256"/>
      <c r="E60" s="256"/>
      <c r="F60" s="160" t="s">
        <v>280</v>
      </c>
      <c r="G60" s="115">
        <v>43096</v>
      </c>
      <c r="H60" s="116" t="s">
        <v>64</v>
      </c>
      <c r="I60" s="117">
        <v>43129</v>
      </c>
      <c r="J60" s="118" t="s">
        <v>65</v>
      </c>
      <c r="K60" s="119">
        <f t="shared" ref="K60" si="100">+I60-G60</f>
        <v>33</v>
      </c>
      <c r="L60" s="119">
        <f t="shared" ref="L60" si="101">+I60-$H$2</f>
        <v>-107</v>
      </c>
      <c r="M60" s="120">
        <v>616</v>
      </c>
      <c r="N60" s="120"/>
      <c r="O60" s="148">
        <f>1136363.64*0</f>
        <v>0</v>
      </c>
      <c r="P60" s="122" t="e">
        <f>VLOOKUP(F60,'INf. RA USD'!$M:$P,4,0)</f>
        <v>#N/A</v>
      </c>
      <c r="Q60" s="122"/>
      <c r="R60" s="123"/>
      <c r="S60" s="124" t="s">
        <v>200</v>
      </c>
      <c r="T60" s="125">
        <f t="shared" ref="T60" si="102">ROUND(M60*O60/$O$2/1000,0)</f>
        <v>0</v>
      </c>
      <c r="U60" s="126" t="e">
        <f t="shared" ref="U60" si="103">ROUND(O60*P60/$O$2/1000,0)</f>
        <v>#N/A</v>
      </c>
      <c r="V60" s="124" t="s">
        <v>104</v>
      </c>
      <c r="W60" s="254"/>
    </row>
    <row r="61" spans="1:23" s="257" customFormat="1" hidden="1" x14ac:dyDescent="0.25">
      <c r="A61" s="254"/>
      <c r="B61" s="255"/>
      <c r="C61" s="255"/>
      <c r="D61" s="256"/>
      <c r="E61" s="256"/>
      <c r="F61" s="160" t="s">
        <v>284</v>
      </c>
      <c r="G61" s="115">
        <v>43102</v>
      </c>
      <c r="H61" s="116" t="s">
        <v>64</v>
      </c>
      <c r="I61" s="117">
        <v>43132</v>
      </c>
      <c r="J61" s="118" t="s">
        <v>65</v>
      </c>
      <c r="K61" s="119">
        <f t="shared" ref="K61" si="104">+I61-G61</f>
        <v>30</v>
      </c>
      <c r="L61" s="119">
        <f t="shared" ref="L61" si="105">+I61-$H$2</f>
        <v>-104</v>
      </c>
      <c r="M61" s="120">
        <v>609.25</v>
      </c>
      <c r="N61" s="120"/>
      <c r="O61" s="148">
        <f>1490521.13*0</f>
        <v>0</v>
      </c>
      <c r="P61" s="122" t="e">
        <f>VLOOKUP(F61,'INf. RA USD'!$M:$P,4,0)</f>
        <v>#N/A</v>
      </c>
      <c r="Q61" s="122"/>
      <c r="R61" s="123"/>
      <c r="S61" s="124" t="s">
        <v>200</v>
      </c>
      <c r="T61" s="125">
        <f t="shared" ref="T61" si="106">ROUND(M61*O61/$O$2/1000,0)</f>
        <v>0</v>
      </c>
      <c r="U61" s="126" t="e">
        <f t="shared" ref="U61" si="107">ROUND(O61*P61/$O$2/1000,0)</f>
        <v>#N/A</v>
      </c>
      <c r="V61" s="124" t="s">
        <v>104</v>
      </c>
      <c r="W61" s="254"/>
    </row>
    <row r="62" spans="1:23" s="257" customFormat="1" hidden="1" x14ac:dyDescent="0.25">
      <c r="A62" s="254"/>
      <c r="B62" s="255"/>
      <c r="C62" s="255"/>
      <c r="D62" s="256"/>
      <c r="E62" s="256"/>
      <c r="F62" s="160" t="s">
        <v>278</v>
      </c>
      <c r="G62" s="115">
        <v>43102</v>
      </c>
      <c r="H62" s="116" t="s">
        <v>64</v>
      </c>
      <c r="I62" s="117">
        <v>43136</v>
      </c>
      <c r="J62" s="118" t="s">
        <v>65</v>
      </c>
      <c r="K62" s="119">
        <f t="shared" ref="K62" si="108">+I62-G62</f>
        <v>34</v>
      </c>
      <c r="L62" s="119">
        <f t="shared" ref="L62" si="109">+I62-$H$2</f>
        <v>-100</v>
      </c>
      <c r="M62" s="120">
        <v>607.29999999999995</v>
      </c>
      <c r="N62" s="120"/>
      <c r="O62" s="148">
        <f>1646632.64*0</f>
        <v>0</v>
      </c>
      <c r="P62" s="122" t="e">
        <f>VLOOKUP(F62,'INf. RA USD'!$M:$P,4,0)</f>
        <v>#N/A</v>
      </c>
      <c r="Q62" s="122"/>
      <c r="R62" s="123"/>
      <c r="S62" s="124" t="s">
        <v>200</v>
      </c>
      <c r="T62" s="125">
        <f t="shared" ref="T62" si="110">ROUND(M62*O62/$O$2/1000,0)</f>
        <v>0</v>
      </c>
      <c r="U62" s="126" t="e">
        <f t="shared" ref="U62" si="111">ROUND(O62*P62/$O$2/1000,0)</f>
        <v>#N/A</v>
      </c>
      <c r="V62" s="124" t="s">
        <v>104</v>
      </c>
      <c r="W62" s="254"/>
    </row>
    <row r="63" spans="1:23" s="257" customFormat="1" hidden="1" x14ac:dyDescent="0.25">
      <c r="A63" s="254"/>
      <c r="B63" s="255"/>
      <c r="C63" s="255"/>
      <c r="D63" s="256"/>
      <c r="E63" s="256"/>
      <c r="F63" s="160" t="s">
        <v>287</v>
      </c>
      <c r="G63" s="115">
        <v>43108</v>
      </c>
      <c r="H63" s="116" t="s">
        <v>64</v>
      </c>
      <c r="I63" s="117">
        <v>43166</v>
      </c>
      <c r="J63" s="118" t="s">
        <v>65</v>
      </c>
      <c r="K63" s="119">
        <f t="shared" ref="K63:K64" si="112">+I63-G63</f>
        <v>58</v>
      </c>
      <c r="L63" s="119">
        <f t="shared" ref="L63:L64" si="113">+I63-$H$2</f>
        <v>-70</v>
      </c>
      <c r="M63" s="120">
        <v>606.82000000000005</v>
      </c>
      <c r="N63" s="120"/>
      <c r="O63" s="148">
        <f>988761.08*0</f>
        <v>0</v>
      </c>
      <c r="P63" s="122"/>
      <c r="Q63" s="122"/>
      <c r="R63" s="123">
        <f>IF(H63="Compra",ROUND((-M63+$P63)*O63,2),IF(H63="Venta",ROUND((+M63-$P63)*O63,2)," "))</f>
        <v>0</v>
      </c>
      <c r="S63" s="124" t="s">
        <v>200</v>
      </c>
      <c r="T63" s="125">
        <f t="shared" ref="T63:T64" si="114">ROUND(M63*O63/$O$2/1000,0)</f>
        <v>0</v>
      </c>
      <c r="U63" s="126">
        <f t="shared" ref="U63:U64" si="115">ROUND(O63*P63/$O$2/1000,0)</f>
        <v>0</v>
      </c>
      <c r="V63" s="124" t="s">
        <v>104</v>
      </c>
      <c r="W63" s="254"/>
    </row>
    <row r="64" spans="1:23" s="257" customFormat="1" hidden="1" x14ac:dyDescent="0.25">
      <c r="A64" s="254"/>
      <c r="B64" s="255"/>
      <c r="C64" s="255"/>
      <c r="D64" s="256"/>
      <c r="E64" s="256"/>
      <c r="F64" s="160" t="s">
        <v>290</v>
      </c>
      <c r="G64" s="115">
        <v>43119</v>
      </c>
      <c r="H64" s="116" t="s">
        <v>64</v>
      </c>
      <c r="I64" s="117">
        <v>43160</v>
      </c>
      <c r="J64" s="118" t="s">
        <v>65</v>
      </c>
      <c r="K64" s="119">
        <f t="shared" si="112"/>
        <v>41</v>
      </c>
      <c r="L64" s="119">
        <f t="shared" si="113"/>
        <v>-76</v>
      </c>
      <c r="M64" s="120">
        <v>606.63</v>
      </c>
      <c r="N64" s="120"/>
      <c r="O64" s="148">
        <f>1483606.15*0</f>
        <v>0</v>
      </c>
      <c r="P64" s="122" t="e">
        <f>VLOOKUP(F64,'INf. RA USD'!$M:$P,4,0)</f>
        <v>#N/A</v>
      </c>
      <c r="Q64" s="122"/>
      <c r="R64" s="123"/>
      <c r="S64" s="124" t="s">
        <v>200</v>
      </c>
      <c r="T64" s="125">
        <f t="shared" si="114"/>
        <v>0</v>
      </c>
      <c r="U64" s="126" t="e">
        <f t="shared" si="115"/>
        <v>#N/A</v>
      </c>
      <c r="V64" s="124" t="s">
        <v>104</v>
      </c>
      <c r="W64" s="254"/>
    </row>
    <row r="65" spans="1:32" s="257" customFormat="1" hidden="1" x14ac:dyDescent="0.25">
      <c r="A65" s="254"/>
      <c r="B65" s="255"/>
      <c r="C65" s="255"/>
      <c r="D65" s="256"/>
      <c r="E65" s="256"/>
      <c r="F65" s="160" t="s">
        <v>291</v>
      </c>
      <c r="G65" s="115">
        <v>43124</v>
      </c>
      <c r="H65" s="116" t="s">
        <v>64</v>
      </c>
      <c r="I65" s="117">
        <v>43144</v>
      </c>
      <c r="J65" s="118" t="s">
        <v>65</v>
      </c>
      <c r="K65" s="119">
        <f t="shared" ref="K65" si="116">+I65-G65</f>
        <v>20</v>
      </c>
      <c r="L65" s="119">
        <f t="shared" ref="L65" si="117">+I65-$H$2</f>
        <v>-92</v>
      </c>
      <c r="M65" s="120">
        <v>603.76</v>
      </c>
      <c r="N65" s="120"/>
      <c r="O65" s="148">
        <f>993772.36*0</f>
        <v>0</v>
      </c>
      <c r="P65" s="122" t="e">
        <f>VLOOKUP(F65,'INf. RA USD'!$M:$P,4,0)</f>
        <v>#N/A</v>
      </c>
      <c r="Q65" s="122"/>
      <c r="R65" s="123"/>
      <c r="S65" s="124" t="s">
        <v>200</v>
      </c>
      <c r="T65" s="125">
        <f t="shared" ref="T65" si="118">ROUND(M65*O65/$O$2/1000,0)</f>
        <v>0</v>
      </c>
      <c r="U65" s="126" t="e">
        <f t="shared" ref="U65" si="119">ROUND(O65*P65/$O$2/1000,0)</f>
        <v>#N/A</v>
      </c>
      <c r="V65" s="124" t="s">
        <v>104</v>
      </c>
      <c r="W65" s="254"/>
    </row>
    <row r="66" spans="1:32" s="257" customFormat="1" hidden="1" x14ac:dyDescent="0.25">
      <c r="A66" s="254"/>
      <c r="B66" s="255"/>
      <c r="C66" s="255"/>
      <c r="D66" s="256"/>
      <c r="E66" s="256"/>
      <c r="F66" s="160" t="s">
        <v>292</v>
      </c>
      <c r="G66" s="115">
        <v>43124</v>
      </c>
      <c r="H66" s="116" t="s">
        <v>64</v>
      </c>
      <c r="I66" s="117">
        <v>43153</v>
      </c>
      <c r="J66" s="118" t="s">
        <v>65</v>
      </c>
      <c r="K66" s="119">
        <f t="shared" ref="K66" si="120">+I66-G66</f>
        <v>29</v>
      </c>
      <c r="L66" s="119">
        <f t="shared" ref="L66" si="121">+I66-$H$2</f>
        <v>-83</v>
      </c>
      <c r="M66" s="120">
        <v>603.85</v>
      </c>
      <c r="N66" s="120"/>
      <c r="O66" s="148">
        <f>993624.24*0</f>
        <v>0</v>
      </c>
      <c r="P66" s="122" t="e">
        <f>VLOOKUP(F66,'INf. RA USD'!$M:$P,4,0)</f>
        <v>#N/A</v>
      </c>
      <c r="Q66" s="122"/>
      <c r="R66" s="123"/>
      <c r="S66" s="124" t="s">
        <v>200</v>
      </c>
      <c r="T66" s="125">
        <f t="shared" ref="T66" si="122">ROUND(M66*O66/$O$2/1000,0)</f>
        <v>0</v>
      </c>
      <c r="U66" s="126" t="e">
        <f t="shared" ref="U66" si="123">ROUND(O66*P66/$O$2/1000,0)</f>
        <v>#N/A</v>
      </c>
      <c r="V66" s="124" t="s">
        <v>104</v>
      </c>
      <c r="W66" s="254"/>
    </row>
    <row r="67" spans="1:32" s="257" customFormat="1" hidden="1" x14ac:dyDescent="0.25">
      <c r="A67" s="254"/>
      <c r="B67" s="255"/>
      <c r="C67" s="255"/>
      <c r="D67" s="256"/>
      <c r="E67" s="256"/>
      <c r="F67" s="160" t="s">
        <v>290</v>
      </c>
      <c r="G67" s="115">
        <v>43125</v>
      </c>
      <c r="H67" s="116" t="s">
        <v>64</v>
      </c>
      <c r="I67" s="117">
        <v>43160</v>
      </c>
      <c r="J67" s="118" t="s">
        <v>65</v>
      </c>
      <c r="K67" s="119">
        <f t="shared" ref="K67" si="124">+I67-G67</f>
        <v>35</v>
      </c>
      <c r="L67" s="119">
        <f t="shared" ref="L67" si="125">+I67-$H$2</f>
        <v>-76</v>
      </c>
      <c r="M67" s="120">
        <v>599.39</v>
      </c>
      <c r="N67" s="120"/>
      <c r="O67" s="148">
        <f>1501526.55*0</f>
        <v>0</v>
      </c>
      <c r="P67" s="122" t="e">
        <f>VLOOKUP(F67,'INf. RA USD'!$M:$P,4,0)</f>
        <v>#N/A</v>
      </c>
      <c r="Q67" s="122"/>
      <c r="R67" s="123"/>
      <c r="S67" s="124" t="s">
        <v>156</v>
      </c>
      <c r="T67" s="125">
        <f t="shared" ref="T67" si="126">ROUND(M67*O67/$O$2/1000,0)</f>
        <v>0</v>
      </c>
      <c r="U67" s="126" t="e">
        <f t="shared" ref="U67" si="127">ROUND(O67*P67/$O$2/1000,0)</f>
        <v>#N/A</v>
      </c>
      <c r="V67" s="124" t="s">
        <v>104</v>
      </c>
      <c r="W67" s="254"/>
    </row>
    <row r="68" spans="1:32" s="257" customFormat="1" hidden="1" x14ac:dyDescent="0.25">
      <c r="A68" s="254"/>
      <c r="B68" s="255"/>
      <c r="C68" s="255"/>
      <c r="D68" s="256"/>
      <c r="E68" s="256"/>
      <c r="F68" s="160" t="s">
        <v>293</v>
      </c>
      <c r="G68" s="115">
        <v>43130</v>
      </c>
      <c r="H68" s="116" t="s">
        <v>64</v>
      </c>
      <c r="I68" s="117">
        <v>43193</v>
      </c>
      <c r="J68" s="118" t="s">
        <v>65</v>
      </c>
      <c r="K68" s="119">
        <f t="shared" ref="K68" si="128">+I68-G68</f>
        <v>63</v>
      </c>
      <c r="L68" s="119">
        <f t="shared" ref="L68" si="129">+I68-$H$2</f>
        <v>-43</v>
      </c>
      <c r="M68" s="120">
        <v>604.04999999999995</v>
      </c>
      <c r="N68" s="120"/>
      <c r="O68" s="148">
        <f>1655492.1*0</f>
        <v>0</v>
      </c>
      <c r="P68" s="122" t="e">
        <f>VLOOKUP(F68,'INf. RA USD'!$M:$P,4,0)</f>
        <v>#N/A</v>
      </c>
      <c r="Q68" s="122"/>
      <c r="R68" s="123"/>
      <c r="S68" s="124" t="s">
        <v>200</v>
      </c>
      <c r="T68" s="125">
        <f t="shared" ref="T68" si="130">ROUND(M68*O68/$O$2/1000,0)</f>
        <v>0</v>
      </c>
      <c r="U68" s="126" t="e">
        <f t="shared" ref="U68" si="131">ROUND(O68*P68/$O$2/1000,0)</f>
        <v>#N/A</v>
      </c>
      <c r="V68" s="124" t="s">
        <v>104</v>
      </c>
      <c r="W68" s="254"/>
    </row>
    <row r="69" spans="1:32" s="257" customFormat="1" hidden="1" x14ac:dyDescent="0.25">
      <c r="A69" s="254"/>
      <c r="B69" s="255"/>
      <c r="C69" s="255"/>
      <c r="D69" s="256"/>
      <c r="E69" s="256"/>
      <c r="F69" s="160" t="s">
        <v>324</v>
      </c>
      <c r="G69" s="115">
        <v>43168</v>
      </c>
      <c r="H69" s="116" t="s">
        <v>64</v>
      </c>
      <c r="I69" s="117">
        <v>43192</v>
      </c>
      <c r="J69" s="118" t="s">
        <v>65</v>
      </c>
      <c r="K69" s="119">
        <f t="shared" ref="K69" si="132">+I69-G69</f>
        <v>24</v>
      </c>
      <c r="L69" s="119">
        <f t="shared" ref="L69" si="133">+I69-$H$2</f>
        <v>-44</v>
      </c>
      <c r="M69" s="120">
        <v>602.99</v>
      </c>
      <c r="N69" s="120"/>
      <c r="O69" s="148">
        <f>3316804.59*0</f>
        <v>0</v>
      </c>
      <c r="P69" s="122" t="e">
        <f>VLOOKUP(F69,'INf. RA USD'!$M:$P,4,0)</f>
        <v>#N/A</v>
      </c>
      <c r="Q69" s="122"/>
      <c r="R69" s="123"/>
      <c r="S69" s="124" t="s">
        <v>156</v>
      </c>
      <c r="T69" s="125">
        <f t="shared" ref="T69" si="134">ROUND(M69*O69/$O$2/1000,0)</f>
        <v>0</v>
      </c>
      <c r="U69" s="126" t="e">
        <f t="shared" ref="U69" si="135">ROUND(O69*P69/$O$2/1000,0)</f>
        <v>#N/A</v>
      </c>
      <c r="V69" s="124" t="s">
        <v>104</v>
      </c>
      <c r="W69" s="254"/>
    </row>
    <row r="70" spans="1:32" s="257" customFormat="1" hidden="1" x14ac:dyDescent="0.25">
      <c r="A70" s="254"/>
      <c r="B70" s="255"/>
      <c r="C70" s="255"/>
      <c r="D70" s="256"/>
      <c r="E70" s="256"/>
      <c r="F70" s="160" t="s">
        <v>325</v>
      </c>
      <c r="G70" s="115">
        <v>43171</v>
      </c>
      <c r="H70" s="116" t="s">
        <v>64</v>
      </c>
      <c r="I70" s="117">
        <v>43222</v>
      </c>
      <c r="J70" s="118" t="s">
        <v>65</v>
      </c>
      <c r="K70" s="119">
        <f t="shared" ref="K70" si="136">+I70-G70</f>
        <v>51</v>
      </c>
      <c r="L70" s="119">
        <f t="shared" ref="L70" si="137">+I70-$H$2</f>
        <v>-14</v>
      </c>
      <c r="M70" s="120">
        <v>603.78</v>
      </c>
      <c r="N70" s="120"/>
      <c r="O70" s="148">
        <f>3312464.81*0</f>
        <v>0</v>
      </c>
      <c r="P70" s="122"/>
      <c r="Q70" s="122"/>
      <c r="R70" s="123">
        <f>IF(H70="Compra",ROUND((-M70+$P70)*O70,2),IF(H70="Venta",ROUND((+M70-$P70)*O70,2)," "))</f>
        <v>0</v>
      </c>
      <c r="S70" s="124" t="s">
        <v>200</v>
      </c>
      <c r="T70" s="125">
        <f t="shared" ref="T70" si="138">ROUND(M70*O70/$O$2/1000,0)</f>
        <v>0</v>
      </c>
      <c r="U70" s="126">
        <f t="shared" ref="U70" si="139">ROUND(O70*P70/$O$2/1000,0)</f>
        <v>0</v>
      </c>
      <c r="V70" s="124" t="s">
        <v>104</v>
      </c>
      <c r="W70" s="254"/>
    </row>
    <row r="71" spans="1:32" s="257" customFormat="1" hidden="1" x14ac:dyDescent="0.25">
      <c r="A71" s="254"/>
      <c r="B71" s="255"/>
      <c r="C71" s="255"/>
      <c r="D71" s="256"/>
      <c r="E71" s="256"/>
      <c r="F71" s="160" t="s">
        <v>328</v>
      </c>
      <c r="G71" s="115">
        <v>43173</v>
      </c>
      <c r="H71" s="116" t="s">
        <v>64</v>
      </c>
      <c r="I71" s="117">
        <v>43215</v>
      </c>
      <c r="J71" s="118" t="s">
        <v>65</v>
      </c>
      <c r="K71" s="119">
        <f t="shared" ref="K71:K72" si="140">+I71-G71</f>
        <v>42</v>
      </c>
      <c r="L71" s="119">
        <f t="shared" ref="L71" si="141">+I71-$H$2</f>
        <v>-21</v>
      </c>
      <c r="M71" s="120">
        <v>601.70000000000005</v>
      </c>
      <c r="N71" s="120"/>
      <c r="O71" s="148">
        <f>2991524.02*0</f>
        <v>0</v>
      </c>
      <c r="P71" s="122"/>
      <c r="Q71" s="122"/>
      <c r="R71" s="123">
        <f>IF(H71="Compra",ROUND((-M71+$P71)*O71,2),IF(H71="Venta",ROUND((+M71-$P71)*O71,2)," "))</f>
        <v>0</v>
      </c>
      <c r="S71" s="124" t="s">
        <v>200</v>
      </c>
      <c r="T71" s="125">
        <f t="shared" ref="T71:T72" si="142">ROUND(M71*O71/$O$2/1000,0)</f>
        <v>0</v>
      </c>
      <c r="U71" s="126">
        <f t="shared" ref="U71:U72" si="143">ROUND(O71*P71/$O$2/1000,0)</f>
        <v>0</v>
      </c>
      <c r="V71" s="124" t="s">
        <v>104</v>
      </c>
      <c r="W71" s="254"/>
    </row>
    <row r="72" spans="1:32" s="257" customFormat="1" x14ac:dyDescent="0.25">
      <c r="A72" s="254"/>
      <c r="B72" s="255"/>
      <c r="C72" s="255"/>
      <c r="D72" s="256"/>
      <c r="E72" s="256" t="str">
        <f>+F72&amp;M72</f>
        <v>FWC*P130618605,5</v>
      </c>
      <c r="F72" s="252" t="s">
        <v>331</v>
      </c>
      <c r="G72" s="115">
        <v>43185</v>
      </c>
      <c r="H72" s="116" t="s">
        <v>64</v>
      </c>
      <c r="I72" s="117">
        <v>43264</v>
      </c>
      <c r="J72" s="118" t="s">
        <v>65</v>
      </c>
      <c r="K72" s="119">
        <f t="shared" si="140"/>
        <v>79</v>
      </c>
      <c r="L72" s="119">
        <f t="shared" ref="L72:L77" si="144">+I72-$H$2</f>
        <v>28</v>
      </c>
      <c r="M72" s="120">
        <v>605.5</v>
      </c>
      <c r="N72" s="332" t="str">
        <f>VLOOKUP(E72,'INf. RA USD'!T:U,2,0)</f>
        <v>25,338862836734</v>
      </c>
      <c r="O72" s="148">
        <v>2642444.2599999998</v>
      </c>
      <c r="P72" s="334" t="str">
        <f>VLOOKUP(F72,'INf. RA USD'!M:P,4,0)</f>
        <v>630,889</v>
      </c>
      <c r="Q72" s="122">
        <f>+O72*N72</f>
        <v>66956532.657855064</v>
      </c>
      <c r="R72" s="123">
        <f>IF(H72="Compra",ROUND((-M72+$P72)*O72,2),IF(H72="Venta",ROUND((+M72-$P72)*O72,2)," "))</f>
        <v>67089017.32</v>
      </c>
      <c r="S72" s="124" t="s">
        <v>200</v>
      </c>
      <c r="T72" s="125">
        <f t="shared" si="142"/>
        <v>2536</v>
      </c>
      <c r="U72" s="126">
        <f t="shared" si="143"/>
        <v>2642</v>
      </c>
      <c r="V72" s="124" t="s">
        <v>104</v>
      </c>
      <c r="W72" s="254"/>
      <c r="Z72" s="312"/>
    </row>
    <row r="73" spans="1:32" s="257" customFormat="1" hidden="1" x14ac:dyDescent="0.25">
      <c r="A73" s="254"/>
      <c r="B73" s="255"/>
      <c r="C73" s="255"/>
      <c r="D73" s="256"/>
      <c r="E73" s="256" t="str">
        <f t="shared" ref="E73:E77" si="145">F8&amp;M73</f>
        <v>FWC*P200917602,8</v>
      </c>
      <c r="F73" s="160" t="s">
        <v>333</v>
      </c>
      <c r="G73" s="115">
        <v>43188</v>
      </c>
      <c r="H73" s="116" t="s">
        <v>64</v>
      </c>
      <c r="I73" s="117">
        <v>43208</v>
      </c>
      <c r="J73" s="118" t="s">
        <v>65</v>
      </c>
      <c r="K73" s="119">
        <f t="shared" ref="K73" si="146">+I73-G73</f>
        <v>20</v>
      </c>
      <c r="L73" s="119">
        <f t="shared" si="144"/>
        <v>-28</v>
      </c>
      <c r="M73" s="120">
        <v>602.79999999999995</v>
      </c>
      <c r="N73" s="332"/>
      <c r="O73" s="148">
        <f>995355.01*0</f>
        <v>0</v>
      </c>
      <c r="P73" s="334"/>
      <c r="Q73" s="122"/>
      <c r="R73" s="123"/>
      <c r="S73" s="124" t="s">
        <v>200</v>
      </c>
      <c r="T73" s="125">
        <f t="shared" ref="T73" si="147">ROUND(M73*O73/$O$2/1000,0)</f>
        <v>0</v>
      </c>
      <c r="U73" s="126">
        <f t="shared" ref="U73" si="148">ROUND(O73*P73/$O$2/1000,0)</f>
        <v>0</v>
      </c>
      <c r="V73" s="124" t="s">
        <v>104</v>
      </c>
      <c r="W73" s="254"/>
      <c r="Z73" s="312"/>
    </row>
    <row r="74" spans="1:32" s="257" customFormat="1" hidden="1" x14ac:dyDescent="0.25">
      <c r="A74" s="254"/>
      <c r="B74" s="255"/>
      <c r="C74" s="255"/>
      <c r="D74" s="256"/>
      <c r="E74" s="256" t="str">
        <f>+F74&amp;M74</f>
        <v>FWC*P110518603,1</v>
      </c>
      <c r="F74" s="252" t="s">
        <v>334</v>
      </c>
      <c r="G74" s="115">
        <v>43192</v>
      </c>
      <c r="H74" s="116" t="s">
        <v>64</v>
      </c>
      <c r="I74" s="117">
        <v>43231</v>
      </c>
      <c r="J74" s="118" t="s">
        <v>65</v>
      </c>
      <c r="K74" s="119">
        <f t="shared" ref="K74" si="149">+I74-G74</f>
        <v>39</v>
      </c>
      <c r="L74" s="119">
        <f t="shared" si="144"/>
        <v>-5</v>
      </c>
      <c r="M74" s="120">
        <v>603.1</v>
      </c>
      <c r="N74" s="332" t="e">
        <f>VLOOKUP(E74,'INf. RA USD'!T:U,2,0)</f>
        <v>#N/A</v>
      </c>
      <c r="O74" s="148">
        <f>2487149.73*0</f>
        <v>0</v>
      </c>
      <c r="P74" s="334" t="e">
        <f>VLOOKUP(F74,'INf. RA USD'!$M:$P,4,0)</f>
        <v>#N/A</v>
      </c>
      <c r="Q74" s="122"/>
      <c r="R74" s="123" t="e">
        <f t="shared" ref="R74" si="150">IF(H74="Compra",ROUND((-M74+$P74)*O74,2),IF(H74="Venta",ROUND((+M74-$P74)*O74,2)," "))</f>
        <v>#N/A</v>
      </c>
      <c r="S74" s="124" t="s">
        <v>200</v>
      </c>
      <c r="T74" s="125">
        <f t="shared" ref="T74" si="151">ROUND(M74*O74/$O$2/1000,0)</f>
        <v>0</v>
      </c>
      <c r="U74" s="126" t="e">
        <f t="shared" ref="U74" si="152">ROUND(O74*P74/$O$2/1000,0)</f>
        <v>#N/A</v>
      </c>
      <c r="V74" s="124" t="s">
        <v>104</v>
      </c>
      <c r="W74" s="254"/>
      <c r="Z74" s="312"/>
    </row>
    <row r="75" spans="1:32" s="257" customFormat="1" x14ac:dyDescent="0.25">
      <c r="A75" s="254"/>
      <c r="B75" s="255"/>
      <c r="C75" s="255"/>
      <c r="D75" s="256"/>
      <c r="E75" s="256" t="str">
        <f>+F75&amp;M75</f>
        <v>FWC*P110618603,07</v>
      </c>
      <c r="F75" s="252" t="s">
        <v>335</v>
      </c>
      <c r="G75" s="115">
        <v>43195</v>
      </c>
      <c r="H75" s="116" t="s">
        <v>64</v>
      </c>
      <c r="I75" s="117">
        <v>43262</v>
      </c>
      <c r="J75" s="118" t="s">
        <v>65</v>
      </c>
      <c r="K75" s="119">
        <f t="shared" ref="K75" si="153">+I75-G75</f>
        <v>67</v>
      </c>
      <c r="L75" s="119">
        <f t="shared" si="144"/>
        <v>26</v>
      </c>
      <c r="M75" s="120">
        <v>603.07000000000005</v>
      </c>
      <c r="N75" s="332" t="str">
        <f>VLOOKUP(E75,'INf. RA USD'!T:U,2,0)</f>
        <v>27,76997729505</v>
      </c>
      <c r="O75" s="148">
        <v>746182.04</v>
      </c>
      <c r="P75" s="334" t="str">
        <f>VLOOKUP(F75,'INf. RA USD'!M:P,4,0)</f>
        <v>630,891</v>
      </c>
      <c r="Q75" s="122">
        <f>+O75*N75</f>
        <v>20721458.308774091</v>
      </c>
      <c r="R75" s="123">
        <f t="shared" ref="R75" si="154">IF(H75="Compra",ROUND((-M75+$P75)*O75,2),IF(H75="Venta",ROUND((+M75-$P75)*O75,2)," "))</f>
        <v>20759530.530000001</v>
      </c>
      <c r="S75" s="124" t="s">
        <v>200</v>
      </c>
      <c r="T75" s="125">
        <f t="shared" ref="T75" si="155">ROUND(M75*O75/$O$2/1000,0)</f>
        <v>713</v>
      </c>
      <c r="U75" s="126">
        <f t="shared" ref="U75" si="156">ROUND(O75*P75/$O$2/1000,0)</f>
        <v>746</v>
      </c>
      <c r="V75" s="124" t="s">
        <v>104</v>
      </c>
      <c r="W75" s="254"/>
      <c r="Z75" s="312"/>
    </row>
    <row r="76" spans="1:32" s="257" customFormat="1" x14ac:dyDescent="0.25">
      <c r="A76" s="254"/>
      <c r="B76" s="255"/>
      <c r="C76" s="255"/>
      <c r="D76" s="256"/>
      <c r="E76" s="256" t="str">
        <f>+F76&amp;M76</f>
        <v>FWC*P240518593,85</v>
      </c>
      <c r="F76" s="252" t="s">
        <v>336</v>
      </c>
      <c r="G76" s="115">
        <v>43208</v>
      </c>
      <c r="H76" s="116" t="s">
        <v>64</v>
      </c>
      <c r="I76" s="117">
        <v>43244</v>
      </c>
      <c r="J76" s="118" t="s">
        <v>65</v>
      </c>
      <c r="K76" s="119">
        <f t="shared" ref="K76" si="157">+I76-G76</f>
        <v>36</v>
      </c>
      <c r="L76" s="119">
        <f t="shared" si="144"/>
        <v>8</v>
      </c>
      <c r="M76" s="120">
        <v>593.85</v>
      </c>
      <c r="N76" s="332" t="str">
        <f>VLOOKUP(E76,'INf. RA USD'!T:U,2,0)</f>
        <v>37,046846515496</v>
      </c>
      <c r="O76" s="148">
        <v>2778479.41</v>
      </c>
      <c r="P76" s="334" t="str">
        <f>VLOOKUP(F76,'INf. RA USD'!M:P,4,0)</f>
        <v>630,917</v>
      </c>
      <c r="Q76" s="122">
        <f>+O76*N76</f>
        <v>102933900.24873589</v>
      </c>
      <c r="R76" s="123">
        <f t="shared" ref="R76" si="158">IF(H76="Compra",ROUND((-M76+$P76)*O76,2),IF(H76="Venta",ROUND((+M76-$P76)*O76,2)," "))</f>
        <v>102989896.29000001</v>
      </c>
      <c r="S76" s="124" t="s">
        <v>200</v>
      </c>
      <c r="T76" s="125">
        <f t="shared" ref="T76" si="159">ROUND(M76*O76/$O$2/1000,0)</f>
        <v>2615</v>
      </c>
      <c r="U76" s="126">
        <f t="shared" ref="U76" si="160">ROUND(O76*P76/$O$2/1000,0)</f>
        <v>2779</v>
      </c>
      <c r="V76" s="124" t="s">
        <v>104</v>
      </c>
      <c r="W76" s="254"/>
      <c r="Z76" s="312"/>
    </row>
    <row r="77" spans="1:32" s="300" customFormat="1" hidden="1" x14ac:dyDescent="0.25">
      <c r="A77" s="160"/>
      <c r="B77" s="298"/>
      <c r="C77" s="298"/>
      <c r="D77" s="299"/>
      <c r="E77" s="256" t="str">
        <f t="shared" si="145"/>
        <v>FWC*P120917600,41</v>
      </c>
      <c r="F77" s="160" t="s">
        <v>337</v>
      </c>
      <c r="G77" s="115">
        <v>43213</v>
      </c>
      <c r="H77" s="116" t="s">
        <v>64</v>
      </c>
      <c r="I77" s="117">
        <v>43227</v>
      </c>
      <c r="J77" s="118" t="s">
        <v>65</v>
      </c>
      <c r="K77" s="119">
        <f t="shared" ref="K77" si="161">+I77-G77</f>
        <v>14</v>
      </c>
      <c r="L77" s="119">
        <f t="shared" si="144"/>
        <v>-9</v>
      </c>
      <c r="M77" s="120">
        <v>600.41</v>
      </c>
      <c r="N77" s="332" t="e">
        <f>VLOOKUP(E77,'INf. RA USD'!T:U,2,0)</f>
        <v>#N/A</v>
      </c>
      <c r="O77" s="148">
        <f>832764.28*0</f>
        <v>0</v>
      </c>
      <c r="P77" s="334" t="e">
        <f>VLOOKUP(F77,'INf. RA USD'!O:P,2,0)</f>
        <v>#N/A</v>
      </c>
      <c r="Q77" s="122"/>
      <c r="R77" s="123" t="e">
        <f t="shared" ref="R77" si="162">IF(H77="Compra",ROUND((-M77+$P77)*O77,2),IF(H77="Venta",ROUND((+M77-$P77)*O77,2)," "))</f>
        <v>#N/A</v>
      </c>
      <c r="S77" s="124" t="s">
        <v>200</v>
      </c>
      <c r="T77" s="125">
        <f t="shared" ref="T77" si="163">ROUND(M77*O77/$O$2/1000,0)</f>
        <v>0</v>
      </c>
      <c r="U77" s="126" t="e">
        <f t="shared" ref="U77" si="164">ROUND(O77*P77/$O$2/1000,0)</f>
        <v>#N/A</v>
      </c>
      <c r="V77" s="124" t="s">
        <v>104</v>
      </c>
      <c r="W77" s="160"/>
      <c r="Y77" s="257"/>
      <c r="Z77" s="312"/>
      <c r="AA77" s="257"/>
      <c r="AB77" s="257"/>
      <c r="AC77" s="257"/>
      <c r="AD77" s="257"/>
      <c r="AE77" s="257"/>
      <c r="AF77" s="257"/>
    </row>
    <row r="78" spans="1:32" s="300" customFormat="1" x14ac:dyDescent="0.25">
      <c r="A78" s="160"/>
      <c r="B78" s="298"/>
      <c r="C78" s="298"/>
      <c r="D78" s="299"/>
      <c r="E78" s="256" t="str">
        <f t="shared" ref="E78:E83" si="165">+F78&amp;M78</f>
        <v>FWC*P080618614,13</v>
      </c>
      <c r="F78" s="252" t="s">
        <v>338</v>
      </c>
      <c r="G78" s="115">
        <v>43220</v>
      </c>
      <c r="H78" s="116" t="s">
        <v>64</v>
      </c>
      <c r="I78" s="117">
        <v>43259</v>
      </c>
      <c r="J78" s="118" t="s">
        <v>65</v>
      </c>
      <c r="K78" s="119">
        <f t="shared" ref="K78" si="166">+I78-G78</f>
        <v>39</v>
      </c>
      <c r="L78" s="119">
        <f t="shared" ref="L78" si="167">+I78-$H$2</f>
        <v>23</v>
      </c>
      <c r="M78" s="120">
        <v>614.13</v>
      </c>
      <c r="N78" s="332" t="str">
        <f>VLOOKUP(E78,'INf. RA USD'!T:U,2,0)</f>
        <v>16,737923618892</v>
      </c>
      <c r="O78" s="148">
        <v>976991.84</v>
      </c>
      <c r="P78" s="334" t="str">
        <f>VLOOKUP(F78,'INf. RA USD'!M:P,4,0)</f>
        <v>630,895</v>
      </c>
      <c r="Q78" s="122">
        <f t="shared" ref="Q78:Q81" si="168">+O78*N78</f>
        <v>16352814.794200754</v>
      </c>
      <c r="R78" s="123">
        <f t="shared" ref="R78:R83" si="169">IF(H78="Compra",ROUND((-M78+$P78)*O78,2),IF(H78="Venta",ROUND((+M78-$P78)*O78,2)," "))</f>
        <v>16379268.199999999</v>
      </c>
      <c r="S78" s="124" t="s">
        <v>200</v>
      </c>
      <c r="T78" s="125">
        <f t="shared" ref="T78" si="170">ROUND(M78*O78/$O$2/1000,0)</f>
        <v>951</v>
      </c>
      <c r="U78" s="126">
        <f t="shared" ref="U78" si="171">ROUND(O78*P78/$O$2/1000,0)</f>
        <v>977</v>
      </c>
      <c r="V78" s="124" t="s">
        <v>104</v>
      </c>
      <c r="W78" s="160"/>
      <c r="Y78" s="257"/>
      <c r="Z78" s="312"/>
      <c r="AA78" s="257"/>
      <c r="AB78" s="257"/>
      <c r="AC78" s="257"/>
      <c r="AD78" s="257"/>
      <c r="AE78" s="257"/>
      <c r="AF78" s="257"/>
    </row>
    <row r="79" spans="1:32" x14ac:dyDescent="0.25">
      <c r="A79" s="73" t="str">
        <f>IF(J84="US$","FWC*P","FWVUP")</f>
        <v>FWVUP</v>
      </c>
      <c r="B79" s="113" t="str">
        <f>IF(DAY(I84)&lt;10,CONCATENATE(0,DAY(I84)),DAY(I84))</f>
        <v>00</v>
      </c>
      <c r="C79" s="113" t="str">
        <f>IF(MONTH(I84)&lt;10,CONCATENATE(0,MONTH(I84)),MONTH(I84))</f>
        <v>01</v>
      </c>
      <c r="D79" s="114">
        <f>YEAR(I84)</f>
        <v>1900</v>
      </c>
      <c r="E79" s="256" t="str">
        <f t="shared" si="165"/>
        <v>FWC*P050618619,13</v>
      </c>
      <c r="F79" s="252" t="s">
        <v>339</v>
      </c>
      <c r="G79" s="115">
        <v>43222</v>
      </c>
      <c r="H79" s="116" t="s">
        <v>64</v>
      </c>
      <c r="I79" s="117">
        <v>43256</v>
      </c>
      <c r="J79" s="118" t="s">
        <v>65</v>
      </c>
      <c r="K79" s="119">
        <f t="shared" ref="K79" si="172">+I79-G79</f>
        <v>34</v>
      </c>
      <c r="L79" s="119">
        <f t="shared" ref="L79" si="173">+I79-$H$2</f>
        <v>20</v>
      </c>
      <c r="M79" s="120">
        <v>619.13</v>
      </c>
      <c r="N79" s="332" t="str">
        <f>VLOOKUP(E79,'INf. RA USD'!T:U,2,0)</f>
        <v>11,752624676284</v>
      </c>
      <c r="O79" s="148">
        <v>2867459.75</v>
      </c>
      <c r="P79" s="334" t="str">
        <f>VLOOKUP(F79,'INf. RA USD'!M:P,4,0)</f>
        <v>630,899</v>
      </c>
      <c r="Q79" s="122">
        <f t="shared" si="168"/>
        <v>33700178.216101147</v>
      </c>
      <c r="R79" s="123">
        <f t="shared" si="169"/>
        <v>33747133.799999997</v>
      </c>
      <c r="S79" s="124" t="s">
        <v>200</v>
      </c>
      <c r="T79" s="125">
        <f t="shared" ref="T79" si="174">ROUND(M79*O79/$O$2/1000,0)</f>
        <v>2814</v>
      </c>
      <c r="U79" s="126">
        <f t="shared" ref="U79" si="175">ROUND(O79*P79/$O$2/1000,0)</f>
        <v>2868</v>
      </c>
      <c r="V79" s="124" t="s">
        <v>104</v>
      </c>
      <c r="Y79" s="257"/>
      <c r="Z79" s="312"/>
      <c r="AA79" s="257"/>
      <c r="AB79" s="257"/>
      <c r="AC79" s="257"/>
      <c r="AD79" s="257"/>
      <c r="AE79" s="257"/>
      <c r="AF79" s="257"/>
    </row>
    <row r="80" spans="1:32" x14ac:dyDescent="0.25">
      <c r="B80" s="113"/>
      <c r="C80" s="113"/>
      <c r="D80" s="114"/>
      <c r="E80" s="256" t="str">
        <f t="shared" si="165"/>
        <v>FWC*P010618620,04</v>
      </c>
      <c r="F80" s="252" t="s">
        <v>343</v>
      </c>
      <c r="G80" s="115">
        <v>43223</v>
      </c>
      <c r="H80" s="116" t="s">
        <v>64</v>
      </c>
      <c r="I80" s="117">
        <v>43252</v>
      </c>
      <c r="J80" s="118" t="s">
        <v>65</v>
      </c>
      <c r="K80" s="119">
        <f t="shared" ref="K80" si="176">+I80-G80</f>
        <v>29</v>
      </c>
      <c r="L80" s="119">
        <f t="shared" ref="L80" si="177">+I80-$H$2</f>
        <v>16</v>
      </c>
      <c r="M80" s="120">
        <v>620.04</v>
      </c>
      <c r="N80" s="332" t="str">
        <f>VLOOKUP(E80,'INf. RA USD'!T:U,2,0)</f>
        <v>10,851961557313</v>
      </c>
      <c r="O80" s="148">
        <v>1774079.09</v>
      </c>
      <c r="P80" s="334" t="str">
        <f>VLOOKUP(F80,'INf. RA USD'!M:P,4,0)</f>
        <v>630,904</v>
      </c>
      <c r="Q80" s="122">
        <f t="shared" si="168"/>
        <v>19252238.08431283</v>
      </c>
      <c r="R80" s="123">
        <f t="shared" si="169"/>
        <v>19273595.23</v>
      </c>
      <c r="S80" s="124" t="s">
        <v>200</v>
      </c>
      <c r="T80" s="125">
        <f t="shared" ref="T80" si="178">ROUND(M80*O80/$O$2/1000,0)</f>
        <v>1744</v>
      </c>
      <c r="U80" s="126">
        <f t="shared" ref="U80" si="179">ROUND(O80*P80/$O$2/1000,0)</f>
        <v>1774</v>
      </c>
      <c r="V80" s="124" t="s">
        <v>104</v>
      </c>
      <c r="Y80" s="257"/>
      <c r="Z80" s="312"/>
      <c r="AA80" s="257"/>
      <c r="AB80" s="257"/>
      <c r="AC80" s="257"/>
      <c r="AD80" s="257"/>
      <c r="AE80" s="257"/>
      <c r="AF80" s="257"/>
    </row>
    <row r="81" spans="1:32" x14ac:dyDescent="0.25">
      <c r="B81" s="113"/>
      <c r="C81" s="113"/>
      <c r="D81" s="114"/>
      <c r="E81" s="256" t="str">
        <f t="shared" si="165"/>
        <v>FWC*P010618631,53</v>
      </c>
      <c r="F81" s="252" t="s">
        <v>343</v>
      </c>
      <c r="G81" s="115">
        <v>43229</v>
      </c>
      <c r="H81" s="116" t="s">
        <v>64</v>
      </c>
      <c r="I81" s="117">
        <v>43252</v>
      </c>
      <c r="J81" s="118" t="s">
        <v>65</v>
      </c>
      <c r="K81" s="119">
        <f t="shared" ref="K81" si="180">+I81-G81</f>
        <v>23</v>
      </c>
      <c r="L81" s="119">
        <f t="shared" ref="L81" si="181">+I81-$H$2</f>
        <v>16</v>
      </c>
      <c r="M81" s="120">
        <v>631.53</v>
      </c>
      <c r="N81" s="332" t="str">
        <f>VLOOKUP(E81,'INf. RA USD'!T:U,2,0)</f>
        <v>-0,62530632684798</v>
      </c>
      <c r="O81" s="148">
        <v>1583456.05</v>
      </c>
      <c r="P81" s="334" t="str">
        <f>VLOOKUP(F81,'INf. RA USD'!M:P,4,0)</f>
        <v>630,904</v>
      </c>
      <c r="Q81" s="122">
        <f t="shared" si="168"/>
        <v>-990145.08635071141</v>
      </c>
      <c r="R81" s="123">
        <f t="shared" si="169"/>
        <v>-991243.49</v>
      </c>
      <c r="S81" s="124" t="s">
        <v>200</v>
      </c>
      <c r="T81" s="125">
        <f t="shared" ref="T81" si="182">ROUND(M81*O81/$O$2/1000,0)</f>
        <v>1585</v>
      </c>
      <c r="U81" s="126">
        <f t="shared" ref="U81" si="183">ROUND(O81*P81/$O$2/1000,0)</f>
        <v>1583</v>
      </c>
      <c r="V81" s="124" t="s">
        <v>104</v>
      </c>
      <c r="Y81" s="257"/>
      <c r="Z81" s="312"/>
      <c r="AA81" s="257"/>
      <c r="AB81" s="257"/>
      <c r="AC81" s="257"/>
      <c r="AD81" s="257"/>
      <c r="AE81" s="257"/>
      <c r="AF81" s="257"/>
    </row>
    <row r="82" spans="1:32" s="242" customFormat="1" x14ac:dyDescent="0.25">
      <c r="A82" s="265"/>
      <c r="B82" s="328"/>
      <c r="C82" s="328"/>
      <c r="D82" s="329"/>
      <c r="E82" s="299" t="str">
        <f t="shared" si="165"/>
        <v>FWC*P310518617,9</v>
      </c>
      <c r="F82" s="252" t="s">
        <v>381</v>
      </c>
      <c r="G82" s="115">
        <v>43231</v>
      </c>
      <c r="H82" s="116" t="s">
        <v>64</v>
      </c>
      <c r="I82" s="117">
        <v>43251</v>
      </c>
      <c r="J82" s="118" t="s">
        <v>65</v>
      </c>
      <c r="K82" s="119">
        <f t="shared" ref="K82" si="184">+I82-G82</f>
        <v>20</v>
      </c>
      <c r="L82" s="119">
        <f t="shared" ref="L82" si="185">+I82-$H$2</f>
        <v>15</v>
      </c>
      <c r="M82" s="120">
        <v>617.9</v>
      </c>
      <c r="N82" s="332" t="str">
        <f>VLOOKUP(E82,'INf. RA USD'!T:U,2,0)</f>
        <v>12,992552707947</v>
      </c>
      <c r="O82" s="148">
        <v>1456546.37</v>
      </c>
      <c r="P82" s="334" t="str">
        <f>VLOOKUP(F82,'INf. RA USD'!M:P,4,0)</f>
        <v>630,906</v>
      </c>
      <c r="Q82" s="122">
        <f>+O82*N82</f>
        <v>18924255.483793873</v>
      </c>
      <c r="R82" s="123">
        <f t="shared" si="169"/>
        <v>18943842.09</v>
      </c>
      <c r="S82" s="124" t="s">
        <v>200</v>
      </c>
      <c r="T82" s="125">
        <f t="shared" ref="T82" si="186">ROUND(M82*O82/$O$2/1000,0)</f>
        <v>1427</v>
      </c>
      <c r="U82" s="126">
        <f t="shared" ref="U82" si="187">ROUND(O82*P82/$O$2/1000,0)</f>
        <v>1457</v>
      </c>
      <c r="V82" s="124" t="s">
        <v>104</v>
      </c>
      <c r="W82" s="265"/>
      <c r="Y82" s="300"/>
      <c r="Z82" s="330"/>
      <c r="AA82" s="300"/>
      <c r="AB82" s="300"/>
      <c r="AC82" s="300"/>
      <c r="AD82" s="300"/>
      <c r="AE82" s="300"/>
      <c r="AF82" s="300"/>
    </row>
    <row r="83" spans="1:32" s="242" customFormat="1" x14ac:dyDescent="0.25">
      <c r="A83" s="265"/>
      <c r="B83" s="328"/>
      <c r="C83" s="328"/>
      <c r="D83" s="329"/>
      <c r="E83" s="299" t="str">
        <f t="shared" si="165"/>
        <v>FWC*P040618624</v>
      </c>
      <c r="F83" s="252" t="s">
        <v>384</v>
      </c>
      <c r="G83" s="115">
        <v>43234</v>
      </c>
      <c r="H83" s="116" t="s">
        <v>64</v>
      </c>
      <c r="I83" s="117">
        <v>43255</v>
      </c>
      <c r="J83" s="118" t="s">
        <v>65</v>
      </c>
      <c r="K83" s="119">
        <f t="shared" ref="K83" si="188">+I83-G83</f>
        <v>21</v>
      </c>
      <c r="L83" s="119">
        <f t="shared" ref="L83" si="189">+I83-$H$2</f>
        <v>19</v>
      </c>
      <c r="M83" s="120">
        <v>624</v>
      </c>
      <c r="N83" s="332" t="str">
        <f>VLOOKUP(E83,'INf. RA USD'!T:U,2,0)</f>
        <v>6,8908787734636</v>
      </c>
      <c r="O83" s="148">
        <v>1442307.69</v>
      </c>
      <c r="P83" s="334" t="str">
        <f>VLOOKUP(F83,'INf. RA USD'!M:P,4,0)</f>
        <v>630,9</v>
      </c>
      <c r="Q83" s="122">
        <f>+O83*N83</f>
        <v>9938767.4458243176</v>
      </c>
      <c r="R83" s="123">
        <f t="shared" si="169"/>
        <v>9951923.0600000005</v>
      </c>
      <c r="S83" s="124" t="s">
        <v>200</v>
      </c>
      <c r="T83" s="125">
        <f t="shared" ref="T83" si="190">ROUND(M83*O83/$O$2/1000,0)</f>
        <v>1427</v>
      </c>
      <c r="U83" s="126">
        <f t="shared" ref="U83" si="191">ROUND(O83*P83/$O$2/1000,0)</f>
        <v>1442</v>
      </c>
      <c r="V83" s="124" t="s">
        <v>104</v>
      </c>
      <c r="W83" s="265"/>
      <c r="Y83" s="300"/>
      <c r="Z83" s="330"/>
      <c r="AA83" s="300"/>
      <c r="AB83" s="300"/>
      <c r="AC83" s="300"/>
      <c r="AD83" s="300"/>
      <c r="AE83" s="300"/>
      <c r="AF83" s="300"/>
    </row>
    <row r="84" spans="1:32" x14ac:dyDescent="0.25">
      <c r="A84" s="73" t="str">
        <f t="shared" ref="A84:A144" si="192">IF(J85="US$","FWC*P","FWVUP")</f>
        <v>FWVUP</v>
      </c>
      <c r="B84" s="113" t="str">
        <f t="shared" ref="B84:B144" si="193">IF(DAY(I85)&lt;10,CONCATENATE(0,DAY(I85)),DAY(I85))</f>
        <v>00</v>
      </c>
      <c r="C84" s="113" t="str">
        <f t="shared" ref="C84:C144" si="194">IF(MONTH(I85)&lt;10,CONCATENATE(0,MONTH(I85)),MONTH(I85))</f>
        <v>01</v>
      </c>
      <c r="D84" s="114">
        <f t="shared" ref="D84:D144" si="195">YEAR(I85)</f>
        <v>1900</v>
      </c>
      <c r="E84" s="114"/>
      <c r="F84" s="265" t="s">
        <v>382</v>
      </c>
      <c r="O84" s="111">
        <f>SUM(O8:O83)</f>
        <v>16267946.500000002</v>
      </c>
      <c r="Q84" s="111">
        <f>+Q72+Q75+Q76+Q78+Q79+Q80+Q81+Q82+Q83</f>
        <v>287790000.15324724</v>
      </c>
      <c r="R84" s="111" t="e">
        <f>SUM(R8:R81)</f>
        <v>#N/A</v>
      </c>
    </row>
    <row r="85" spans="1:32" x14ac:dyDescent="0.25">
      <c r="A85" s="73" t="str">
        <f t="shared" si="192"/>
        <v>FWVUP</v>
      </c>
      <c r="B85" s="113" t="str">
        <f t="shared" si="193"/>
        <v>00</v>
      </c>
      <c r="C85" s="113" t="str">
        <f t="shared" si="194"/>
        <v>01</v>
      </c>
      <c r="D85" s="114">
        <f t="shared" si="195"/>
        <v>1900</v>
      </c>
      <c r="E85" s="114"/>
      <c r="I85" s="128"/>
    </row>
    <row r="86" spans="1:32" x14ac:dyDescent="0.25">
      <c r="A86" s="73" t="str">
        <f t="shared" si="192"/>
        <v>FWVUP</v>
      </c>
      <c r="B86" s="113" t="str">
        <f t="shared" si="193"/>
        <v>00</v>
      </c>
      <c r="C86" s="113" t="str">
        <f t="shared" si="194"/>
        <v>01</v>
      </c>
      <c r="D86" s="114">
        <f t="shared" si="195"/>
        <v>1900</v>
      </c>
      <c r="E86" s="114"/>
      <c r="I86" s="128"/>
      <c r="Q86" s="76">
        <f>+Q72+Q75+Q76+Q78+Q79+Q80+Q81+Q82+Q83</f>
        <v>287790000.15324724</v>
      </c>
    </row>
    <row r="87" spans="1:32" x14ac:dyDescent="0.25">
      <c r="A87" s="73" t="str">
        <f t="shared" si="192"/>
        <v>FWVUP</v>
      </c>
      <c r="B87" s="113" t="str">
        <f t="shared" si="193"/>
        <v>00</v>
      </c>
      <c r="C87" s="113" t="str">
        <f t="shared" si="194"/>
        <v>01</v>
      </c>
      <c r="D87" s="114">
        <f t="shared" si="195"/>
        <v>1900</v>
      </c>
      <c r="E87" s="114"/>
      <c r="O87" s="149"/>
      <c r="T87" s="263"/>
    </row>
    <row r="88" spans="1:32" x14ac:dyDescent="0.25">
      <c r="A88" s="73" t="str">
        <f t="shared" si="192"/>
        <v>FWVUP</v>
      </c>
      <c r="B88" s="113" t="str">
        <f t="shared" si="193"/>
        <v>00</v>
      </c>
      <c r="C88" s="113" t="str">
        <f t="shared" si="194"/>
        <v>01</v>
      </c>
      <c r="D88" s="114">
        <f t="shared" si="195"/>
        <v>1900</v>
      </c>
      <c r="E88" s="114"/>
      <c r="I88" s="150"/>
      <c r="J88" s="242"/>
      <c r="O88" s="151"/>
      <c r="R88" s="152"/>
      <c r="T88" s="263"/>
    </row>
    <row r="89" spans="1:32" x14ac:dyDescent="0.25">
      <c r="A89" s="73" t="str">
        <f t="shared" si="192"/>
        <v>FWVUP</v>
      </c>
      <c r="B89" s="113" t="str">
        <f t="shared" si="193"/>
        <v>00</v>
      </c>
      <c r="C89" s="113" t="str">
        <f t="shared" si="194"/>
        <v>01</v>
      </c>
      <c r="D89" s="114">
        <f t="shared" si="195"/>
        <v>1900</v>
      </c>
      <c r="E89" s="114"/>
      <c r="I89" s="150"/>
      <c r="O89" s="258">
        <f>+O46*M46</f>
        <v>0</v>
      </c>
      <c r="P89" s="248" t="s">
        <v>246</v>
      </c>
      <c r="Q89" s="248"/>
      <c r="R89" s="250">
        <f>SUM(I93:I94)</f>
        <v>0</v>
      </c>
      <c r="S89" s="250">
        <f>+I93</f>
        <v>0</v>
      </c>
    </row>
    <row r="90" spans="1:32" x14ac:dyDescent="0.25">
      <c r="A90" s="73" t="str">
        <f t="shared" si="192"/>
        <v>FWVUP</v>
      </c>
      <c r="B90" s="113" t="str">
        <f t="shared" si="193"/>
        <v>00</v>
      </c>
      <c r="C90" s="113" t="str">
        <f t="shared" si="194"/>
        <v>01</v>
      </c>
      <c r="D90" s="114">
        <f t="shared" si="195"/>
        <v>1900</v>
      </c>
      <c r="E90" s="114"/>
      <c r="M90" s="154"/>
      <c r="N90" s="154"/>
      <c r="O90" s="259">
        <f>+O53*M53</f>
        <v>0</v>
      </c>
      <c r="P90" s="249" t="s">
        <v>247</v>
      </c>
      <c r="Q90" s="249"/>
      <c r="R90" s="250"/>
      <c r="T90" s="250">
        <f>SUM(F93:F94)</f>
        <v>0</v>
      </c>
      <c r="U90" s="262"/>
      <c r="V90" s="260"/>
    </row>
    <row r="91" spans="1:32" x14ac:dyDescent="0.25">
      <c r="A91" s="73" t="str">
        <f t="shared" si="192"/>
        <v>FWVUP</v>
      </c>
      <c r="B91" s="113" t="str">
        <f t="shared" si="193"/>
        <v>00</v>
      </c>
      <c r="C91" s="113" t="str">
        <f t="shared" si="194"/>
        <v>01</v>
      </c>
      <c r="D91" s="114">
        <f t="shared" si="195"/>
        <v>1900</v>
      </c>
      <c r="E91" s="114"/>
      <c r="M91" s="76">
        <v>828307536</v>
      </c>
      <c r="P91" s="248" t="s">
        <v>279</v>
      </c>
      <c r="Q91" s="248"/>
      <c r="S91" s="250"/>
      <c r="T91" s="261">
        <f>+S89-T90</f>
        <v>0</v>
      </c>
    </row>
    <row r="92" spans="1:32" x14ac:dyDescent="0.25">
      <c r="A92" s="73" t="str">
        <f t="shared" si="192"/>
        <v>FWVUP</v>
      </c>
      <c r="B92" s="113" t="str">
        <f t="shared" si="193"/>
        <v>00</v>
      </c>
      <c r="C92" s="113" t="str">
        <f t="shared" si="194"/>
        <v>01</v>
      </c>
      <c r="D92" s="114">
        <f t="shared" si="195"/>
        <v>1900</v>
      </c>
      <c r="E92" s="114"/>
      <c r="R92" s="157">
        <f>SUM(R89:R91)</f>
        <v>0</v>
      </c>
      <c r="S92" s="157">
        <f>SUM(S89:S91)</f>
        <v>0</v>
      </c>
      <c r="T92" s="309">
        <f>SUM(T89:T91)</f>
        <v>0</v>
      </c>
      <c r="W92" s="74"/>
    </row>
    <row r="93" spans="1:32" x14ac:dyDescent="0.25">
      <c r="A93" s="73" t="str">
        <f t="shared" si="192"/>
        <v>FWVUP</v>
      </c>
      <c r="B93" s="113" t="str">
        <f t="shared" si="193"/>
        <v>00</v>
      </c>
      <c r="C93" s="113" t="str">
        <f t="shared" si="194"/>
        <v>01</v>
      </c>
      <c r="D93" s="114">
        <f t="shared" si="195"/>
        <v>1900</v>
      </c>
      <c r="E93" s="114"/>
      <c r="F93" s="258">
        <f>+G93/O2</f>
        <v>0</v>
      </c>
      <c r="G93" s="259">
        <f>+H93*I93</f>
        <v>0</v>
      </c>
      <c r="H93" s="259">
        <f>+M74</f>
        <v>603.1</v>
      </c>
      <c r="I93" s="259">
        <f>+O74</f>
        <v>0</v>
      </c>
      <c r="J93" s="268" t="s">
        <v>283</v>
      </c>
      <c r="K93" s="259"/>
      <c r="L93" s="259">
        <f>-G93</f>
        <v>0</v>
      </c>
      <c r="O93" s="153"/>
      <c r="P93" s="155"/>
      <c r="Q93" s="155"/>
      <c r="R93" s="152"/>
      <c r="T93" s="74"/>
      <c r="U93" s="74"/>
      <c r="V93" s="74"/>
      <c r="W93" s="74"/>
    </row>
    <row r="94" spans="1:32" x14ac:dyDescent="0.25">
      <c r="A94" s="73" t="str">
        <f t="shared" si="192"/>
        <v>FWVUP</v>
      </c>
      <c r="B94" s="113" t="str">
        <f t="shared" si="193"/>
        <v>00</v>
      </c>
      <c r="C94" s="113" t="str">
        <f t="shared" si="194"/>
        <v>01</v>
      </c>
      <c r="D94" s="114">
        <f t="shared" si="195"/>
        <v>1900</v>
      </c>
      <c r="E94" s="114"/>
      <c r="F94" s="258"/>
      <c r="G94" s="259"/>
      <c r="H94" s="259"/>
      <c r="I94" s="259"/>
      <c r="J94" s="268"/>
      <c r="K94" s="259"/>
      <c r="L94" s="259">
        <f>-G94</f>
        <v>0</v>
      </c>
      <c r="P94" s="155"/>
      <c r="Q94" s="155"/>
      <c r="R94" s="157"/>
      <c r="T94" s="74"/>
      <c r="U94" s="74"/>
      <c r="V94" s="74"/>
      <c r="W94" s="74"/>
    </row>
    <row r="95" spans="1:32" x14ac:dyDescent="0.25">
      <c r="A95" s="73" t="str">
        <f t="shared" si="192"/>
        <v>FWVUP</v>
      </c>
      <c r="B95" s="113" t="str">
        <f t="shared" si="193"/>
        <v>00</v>
      </c>
      <c r="C95" s="113" t="str">
        <f t="shared" si="194"/>
        <v>01</v>
      </c>
      <c r="D95" s="114">
        <f t="shared" si="195"/>
        <v>1900</v>
      </c>
      <c r="E95" s="114"/>
      <c r="J95" s="242"/>
      <c r="P95" s="85"/>
      <c r="Q95" s="85"/>
      <c r="R95" s="158"/>
      <c r="T95" s="74"/>
      <c r="U95" s="74"/>
      <c r="V95" s="74"/>
      <c r="W95" s="74"/>
    </row>
    <row r="96" spans="1:32" x14ac:dyDescent="0.25">
      <c r="A96" s="73" t="str">
        <f t="shared" si="192"/>
        <v>FWVUP</v>
      </c>
      <c r="B96" s="113" t="str">
        <f t="shared" si="193"/>
        <v>00</v>
      </c>
      <c r="C96" s="113" t="str">
        <f t="shared" si="194"/>
        <v>01</v>
      </c>
      <c r="D96" s="114">
        <f t="shared" si="195"/>
        <v>1900</v>
      </c>
      <c r="E96" s="114"/>
      <c r="O96" s="156">
        <v>201001001005</v>
      </c>
      <c r="P96" s="76" t="s">
        <v>115</v>
      </c>
      <c r="R96" s="158"/>
      <c r="S96" s="128"/>
      <c r="T96" s="74"/>
      <c r="U96" s="74"/>
      <c r="V96" s="74"/>
      <c r="W96" s="74"/>
    </row>
    <row r="97" spans="1:23" x14ac:dyDescent="0.25">
      <c r="A97" s="73" t="str">
        <f t="shared" si="192"/>
        <v>FWVUP</v>
      </c>
      <c r="B97" s="113" t="str">
        <f t="shared" si="193"/>
        <v>00</v>
      </c>
      <c r="C97" s="113" t="str">
        <f t="shared" si="194"/>
        <v>01</v>
      </c>
      <c r="D97" s="114">
        <f t="shared" si="195"/>
        <v>1900</v>
      </c>
      <c r="E97" s="114"/>
      <c r="I97" s="74">
        <v>0</v>
      </c>
      <c r="O97" s="156">
        <v>501007001001</v>
      </c>
      <c r="P97" s="155" t="s">
        <v>114</v>
      </c>
      <c r="Q97" s="155"/>
      <c r="T97" s="128"/>
      <c r="U97" s="74"/>
      <c r="V97" s="74"/>
      <c r="W97" s="74"/>
    </row>
    <row r="98" spans="1:23" x14ac:dyDescent="0.25">
      <c r="A98" s="73" t="str">
        <f t="shared" si="192"/>
        <v>FWVUP</v>
      </c>
      <c r="B98" s="113" t="str">
        <f t="shared" si="193"/>
        <v>00</v>
      </c>
      <c r="C98" s="113" t="str">
        <f t="shared" si="194"/>
        <v>01</v>
      </c>
      <c r="D98" s="114">
        <f t="shared" si="195"/>
        <v>1900</v>
      </c>
      <c r="E98" s="114"/>
      <c r="I98" s="74">
        <v>0</v>
      </c>
      <c r="P98" s="85"/>
      <c r="Q98" s="85"/>
      <c r="T98" s="74"/>
      <c r="U98" s="74"/>
      <c r="V98" s="74"/>
      <c r="W98" s="74"/>
    </row>
    <row r="99" spans="1:23" x14ac:dyDescent="0.25">
      <c r="A99" s="73" t="str">
        <f t="shared" si="192"/>
        <v>FWVUP</v>
      </c>
      <c r="B99" s="113" t="str">
        <f t="shared" si="193"/>
        <v>00</v>
      </c>
      <c r="C99" s="113" t="str">
        <f t="shared" si="194"/>
        <v>01</v>
      </c>
      <c r="D99" s="114">
        <f t="shared" si="195"/>
        <v>1900</v>
      </c>
      <c r="E99" s="114"/>
      <c r="I99" s="74">
        <v>0</v>
      </c>
      <c r="R99" s="159"/>
      <c r="T99" s="74"/>
      <c r="U99" s="74"/>
      <c r="V99" s="74"/>
      <c r="W99" s="74"/>
    </row>
    <row r="100" spans="1:23" x14ac:dyDescent="0.25">
      <c r="A100" s="73" t="str">
        <f t="shared" si="192"/>
        <v>FWVUP</v>
      </c>
      <c r="B100" s="113" t="str">
        <f t="shared" si="193"/>
        <v>00</v>
      </c>
      <c r="C100" s="113" t="str">
        <f t="shared" si="194"/>
        <v>01</v>
      </c>
      <c r="D100" s="114">
        <f t="shared" si="195"/>
        <v>1900</v>
      </c>
      <c r="E100" s="114"/>
      <c r="I100" s="74">
        <v>0</v>
      </c>
      <c r="P100" s="301" t="s">
        <v>246</v>
      </c>
      <c r="Q100" s="301"/>
      <c r="R100" s="301">
        <v>2991524.02</v>
      </c>
      <c r="S100" s="302">
        <v>0</v>
      </c>
      <c r="T100" s="74"/>
      <c r="U100" s="74"/>
      <c r="V100" s="74"/>
      <c r="W100" s="74"/>
    </row>
    <row r="101" spans="1:23" x14ac:dyDescent="0.25">
      <c r="A101" s="73" t="str">
        <f t="shared" si="192"/>
        <v>FWVUP</v>
      </c>
      <c r="B101" s="113" t="str">
        <f t="shared" si="193"/>
        <v>00</v>
      </c>
      <c r="C101" s="113" t="str">
        <f t="shared" si="194"/>
        <v>01</v>
      </c>
      <c r="D101" s="114">
        <f t="shared" si="195"/>
        <v>1900</v>
      </c>
      <c r="E101" s="114"/>
      <c r="I101" s="74">
        <v>0</v>
      </c>
      <c r="P101" s="302" t="s">
        <v>247</v>
      </c>
      <c r="Q101" s="302"/>
      <c r="R101" s="301"/>
      <c r="S101" s="301">
        <v>3000650.1455882108</v>
      </c>
      <c r="T101" s="74"/>
      <c r="U101" s="74"/>
      <c r="V101" s="74"/>
      <c r="W101" s="74"/>
    </row>
    <row r="102" spans="1:23" x14ac:dyDescent="0.25">
      <c r="A102" s="73" t="str">
        <f t="shared" si="192"/>
        <v>FWVUP</v>
      </c>
      <c r="B102" s="113" t="str">
        <f t="shared" si="193"/>
        <v>00</v>
      </c>
      <c r="C102" s="113" t="str">
        <f t="shared" si="194"/>
        <v>01</v>
      </c>
      <c r="D102" s="114">
        <f t="shared" si="195"/>
        <v>1900</v>
      </c>
      <c r="E102" s="114"/>
      <c r="I102" s="74">
        <v>0</v>
      </c>
      <c r="P102" s="301" t="s">
        <v>279</v>
      </c>
      <c r="Q102" s="301"/>
      <c r="R102" s="301">
        <v>9126.1255882107653</v>
      </c>
      <c r="S102" s="301"/>
      <c r="T102" s="74"/>
      <c r="U102" s="74"/>
      <c r="V102" s="74"/>
      <c r="W102" s="74"/>
    </row>
    <row r="103" spans="1:23" x14ac:dyDescent="0.25">
      <c r="A103" s="73" t="str">
        <f t="shared" si="192"/>
        <v>FWVUP</v>
      </c>
      <c r="B103" s="113" t="str">
        <f t="shared" si="193"/>
        <v>00</v>
      </c>
      <c r="C103" s="113" t="str">
        <f t="shared" si="194"/>
        <v>01</v>
      </c>
      <c r="D103" s="114">
        <f t="shared" si="195"/>
        <v>1900</v>
      </c>
      <c r="E103" s="114"/>
      <c r="P103" s="248"/>
      <c r="Q103" s="248"/>
      <c r="R103" s="159"/>
      <c r="T103" s="74"/>
      <c r="U103" s="74"/>
      <c r="V103" s="74"/>
      <c r="W103" s="74"/>
    </row>
    <row r="104" spans="1:23" x14ac:dyDescent="0.25">
      <c r="A104" s="73" t="str">
        <f t="shared" si="192"/>
        <v>FWVUP</v>
      </c>
      <c r="B104" s="113" t="str">
        <f t="shared" si="193"/>
        <v>00</v>
      </c>
      <c r="C104" s="113" t="str">
        <f t="shared" si="194"/>
        <v>01</v>
      </c>
      <c r="D104" s="114">
        <f t="shared" si="195"/>
        <v>1900</v>
      </c>
      <c r="E104" s="114"/>
      <c r="T104" s="74"/>
      <c r="U104" s="74"/>
      <c r="V104" s="74"/>
      <c r="W104" s="74"/>
    </row>
    <row r="105" spans="1:23" x14ac:dyDescent="0.25">
      <c r="A105" s="73" t="str">
        <f t="shared" si="192"/>
        <v>FWVUP</v>
      </c>
      <c r="B105" s="113" t="str">
        <f t="shared" si="193"/>
        <v>00</v>
      </c>
      <c r="C105" s="113" t="str">
        <f t="shared" si="194"/>
        <v>01</v>
      </c>
      <c r="D105" s="114">
        <f t="shared" si="195"/>
        <v>1900</v>
      </c>
      <c r="E105" s="114"/>
      <c r="R105" s="159"/>
      <c r="S105" s="112"/>
      <c r="T105" s="74"/>
      <c r="U105" s="74"/>
      <c r="V105" s="74"/>
      <c r="W105" s="74"/>
    </row>
    <row r="106" spans="1:23" x14ac:dyDescent="0.25">
      <c r="A106" s="73" t="str">
        <f t="shared" si="192"/>
        <v>FWVUP</v>
      </c>
      <c r="B106" s="113" t="str">
        <f t="shared" si="193"/>
        <v>00</v>
      </c>
      <c r="C106" s="113" t="str">
        <f t="shared" si="194"/>
        <v>01</v>
      </c>
      <c r="D106" s="114">
        <f t="shared" si="195"/>
        <v>1900</v>
      </c>
      <c r="E106" s="114"/>
      <c r="T106" s="74"/>
      <c r="U106" s="74"/>
      <c r="V106" s="74"/>
      <c r="W106" s="74"/>
    </row>
    <row r="107" spans="1:23" x14ac:dyDescent="0.25">
      <c r="A107" s="73" t="str">
        <f t="shared" si="192"/>
        <v>FWVUP</v>
      </c>
      <c r="B107" s="113" t="str">
        <f t="shared" si="193"/>
        <v>00</v>
      </c>
      <c r="C107" s="113" t="str">
        <f t="shared" si="194"/>
        <v>01</v>
      </c>
      <c r="D107" s="114">
        <f t="shared" si="195"/>
        <v>1900</v>
      </c>
      <c r="E107" s="114"/>
      <c r="O107" s="265" t="s">
        <v>289</v>
      </c>
      <c r="T107" s="74"/>
      <c r="U107" s="74"/>
      <c r="V107" s="74"/>
      <c r="W107" s="74"/>
    </row>
    <row r="108" spans="1:23" x14ac:dyDescent="0.25">
      <c r="A108" s="73" t="str">
        <f t="shared" si="192"/>
        <v>FWVUP</v>
      </c>
      <c r="B108" s="113" t="str">
        <f t="shared" si="193"/>
        <v>00</v>
      </c>
      <c r="C108" s="113" t="str">
        <f t="shared" si="194"/>
        <v>01</v>
      </c>
      <c r="D108" s="114">
        <f t="shared" si="195"/>
        <v>1900</v>
      </c>
      <c r="E108" s="114"/>
      <c r="F108" s="73" t="str">
        <f t="shared" ref="F108:F139" si="196">CONCATENATE(A107,B107,C107,RIGHT(D107,2))</f>
        <v>FWVUP000100</v>
      </c>
      <c r="T108" s="74"/>
      <c r="U108" s="74"/>
      <c r="V108" s="74"/>
      <c r="W108" s="74"/>
    </row>
    <row r="109" spans="1:23" x14ac:dyDescent="0.25">
      <c r="A109" s="73" t="str">
        <f t="shared" si="192"/>
        <v>FWVUP</v>
      </c>
      <c r="B109" s="113" t="str">
        <f t="shared" si="193"/>
        <v>00</v>
      </c>
      <c r="C109" s="113" t="str">
        <f t="shared" si="194"/>
        <v>01</v>
      </c>
      <c r="D109" s="114">
        <f t="shared" si="195"/>
        <v>1900</v>
      </c>
      <c r="E109" s="114"/>
      <c r="F109" s="73" t="str">
        <f t="shared" si="196"/>
        <v>FWVUP000100</v>
      </c>
      <c r="M109" s="74"/>
      <c r="N109" s="74"/>
      <c r="O109" s="242" t="s">
        <v>247</v>
      </c>
      <c r="P109" s="74"/>
      <c r="Q109" s="74"/>
      <c r="R109" s="74">
        <v>830992.7</v>
      </c>
      <c r="T109" s="74"/>
      <c r="U109" s="74"/>
      <c r="V109" s="74"/>
      <c r="W109" s="74"/>
    </row>
    <row r="110" spans="1:23" x14ac:dyDescent="0.25">
      <c r="A110" s="73" t="str">
        <f t="shared" si="192"/>
        <v>FWVUP</v>
      </c>
      <c r="B110" s="113" t="str">
        <f t="shared" si="193"/>
        <v>00</v>
      </c>
      <c r="C110" s="113" t="str">
        <f t="shared" si="194"/>
        <v>01</v>
      </c>
      <c r="D110" s="114">
        <f t="shared" si="195"/>
        <v>1900</v>
      </c>
      <c r="E110" s="114"/>
      <c r="F110" s="73" t="str">
        <f t="shared" si="196"/>
        <v>FWVUP000100</v>
      </c>
      <c r="M110" s="74"/>
      <c r="N110" s="74"/>
      <c r="O110" s="74">
        <v>201001001003</v>
      </c>
      <c r="P110" s="74">
        <f>+R109</f>
        <v>830992.7</v>
      </c>
      <c r="Q110" s="74"/>
      <c r="R110" s="74">
        <f>+P109</f>
        <v>0</v>
      </c>
      <c r="T110" s="74"/>
      <c r="U110" s="74"/>
      <c r="V110" s="74"/>
      <c r="W110" s="74"/>
    </row>
    <row r="111" spans="1:23" x14ac:dyDescent="0.25">
      <c r="A111" s="73" t="str">
        <f t="shared" si="192"/>
        <v>FWVUP</v>
      </c>
      <c r="B111" s="113" t="str">
        <f t="shared" si="193"/>
        <v>00</v>
      </c>
      <c r="C111" s="113" t="str">
        <f t="shared" si="194"/>
        <v>01</v>
      </c>
      <c r="D111" s="114">
        <f t="shared" si="195"/>
        <v>1900</v>
      </c>
      <c r="E111" s="114"/>
      <c r="F111" s="73" t="str">
        <f t="shared" si="196"/>
        <v>FWVUP000100</v>
      </c>
      <c r="M111" s="74"/>
      <c r="N111" s="74"/>
      <c r="O111" s="74"/>
      <c r="P111" s="74"/>
      <c r="Q111" s="74"/>
      <c r="R111" s="74"/>
      <c r="T111" s="74"/>
      <c r="U111" s="74"/>
      <c r="V111" s="74"/>
      <c r="W111" s="74"/>
    </row>
    <row r="112" spans="1:23" x14ac:dyDescent="0.25">
      <c r="A112" s="73" t="str">
        <f t="shared" si="192"/>
        <v>FWVUP</v>
      </c>
      <c r="B112" s="113" t="str">
        <f t="shared" si="193"/>
        <v>00</v>
      </c>
      <c r="C112" s="113" t="str">
        <f t="shared" si="194"/>
        <v>01</v>
      </c>
      <c r="D112" s="114">
        <f t="shared" si="195"/>
        <v>1900</v>
      </c>
      <c r="E112" s="114"/>
      <c r="F112" s="73" t="str">
        <f t="shared" si="196"/>
        <v>FWVUP000100</v>
      </c>
      <c r="M112" s="74"/>
      <c r="N112" s="74"/>
      <c r="O112" s="242" t="s">
        <v>246</v>
      </c>
      <c r="P112" s="250">
        <v>100000</v>
      </c>
      <c r="Q112" s="250"/>
      <c r="R112" s="74"/>
      <c r="T112" s="74"/>
      <c r="U112" s="74"/>
      <c r="V112" s="74"/>
      <c r="W112" s="74"/>
    </row>
    <row r="113" spans="1:23" x14ac:dyDescent="0.25">
      <c r="A113" s="73" t="str">
        <f t="shared" si="192"/>
        <v>FWVUP</v>
      </c>
      <c r="B113" s="113" t="str">
        <f t="shared" si="193"/>
        <v>00</v>
      </c>
      <c r="C113" s="113" t="str">
        <f t="shared" si="194"/>
        <v>01</v>
      </c>
      <c r="D113" s="114">
        <f t="shared" si="195"/>
        <v>1900</v>
      </c>
      <c r="E113" s="114"/>
      <c r="F113" s="73" t="str">
        <f t="shared" si="196"/>
        <v>FWVUP000100</v>
      </c>
      <c r="M113" s="74"/>
      <c r="N113" s="74"/>
      <c r="O113" s="74" t="str">
        <f>+O109</f>
        <v>CHILE</v>
      </c>
      <c r="P113" s="250">
        <f>+P110</f>
        <v>830992.7</v>
      </c>
      <c r="Q113" s="250"/>
      <c r="R113" s="74"/>
      <c r="T113" s="74"/>
      <c r="U113" s="74"/>
      <c r="V113" s="74"/>
      <c r="W113" s="74"/>
    </row>
    <row r="114" spans="1:23" x14ac:dyDescent="0.25">
      <c r="A114" s="73" t="str">
        <f t="shared" si="192"/>
        <v>FWVUP</v>
      </c>
      <c r="B114" s="113" t="str">
        <f t="shared" si="193"/>
        <v>00</v>
      </c>
      <c r="C114" s="113" t="str">
        <f t="shared" si="194"/>
        <v>01</v>
      </c>
      <c r="D114" s="114">
        <f t="shared" si="195"/>
        <v>1900</v>
      </c>
      <c r="E114" s="114"/>
      <c r="F114" s="73" t="str">
        <f t="shared" si="196"/>
        <v>FWVUP000100</v>
      </c>
      <c r="M114" s="74"/>
      <c r="N114" s="74"/>
      <c r="O114" s="74" t="str">
        <f>+O112</f>
        <v>CITI</v>
      </c>
      <c r="P114" s="74">
        <v>795481.66</v>
      </c>
      <c r="Q114" s="74"/>
      <c r="R114" s="74"/>
      <c r="T114" s="74"/>
      <c r="U114" s="74"/>
      <c r="V114" s="74"/>
      <c r="W114" s="74"/>
    </row>
    <row r="115" spans="1:23" x14ac:dyDescent="0.25">
      <c r="A115" s="73" t="str">
        <f t="shared" si="192"/>
        <v>FWVUP</v>
      </c>
      <c r="B115" s="113" t="str">
        <f t="shared" si="193"/>
        <v>00</v>
      </c>
      <c r="C115" s="113" t="str">
        <f t="shared" si="194"/>
        <v>01</v>
      </c>
      <c r="D115" s="114">
        <f t="shared" si="195"/>
        <v>1900</v>
      </c>
      <c r="E115" s="114"/>
      <c r="F115" s="73" t="str">
        <f t="shared" si="196"/>
        <v>FWVUP000100</v>
      </c>
      <c r="M115" s="74"/>
      <c r="N115" s="74"/>
      <c r="O115" s="74"/>
      <c r="P115" s="74"/>
      <c r="Q115" s="74"/>
      <c r="R115" s="74">
        <v>1726474.36</v>
      </c>
      <c r="T115" s="74"/>
      <c r="U115" s="74"/>
      <c r="V115" s="74"/>
      <c r="W115" s="74"/>
    </row>
    <row r="116" spans="1:23" x14ac:dyDescent="0.25">
      <c r="A116" s="73" t="str">
        <f t="shared" si="192"/>
        <v>FWVUP</v>
      </c>
      <c r="B116" s="113" t="str">
        <f t="shared" si="193"/>
        <v>00</v>
      </c>
      <c r="C116" s="113" t="str">
        <f t="shared" si="194"/>
        <v>01</v>
      </c>
      <c r="D116" s="114">
        <f t="shared" si="195"/>
        <v>1900</v>
      </c>
      <c r="E116" s="114"/>
      <c r="F116" s="73" t="str">
        <f t="shared" si="196"/>
        <v>FWVUP000100</v>
      </c>
      <c r="M116" s="74"/>
      <c r="N116" s="74"/>
      <c r="O116" s="74"/>
      <c r="P116" s="74"/>
      <c r="Q116" s="74"/>
      <c r="R116" s="74"/>
      <c r="T116" s="74"/>
      <c r="U116" s="74"/>
      <c r="V116" s="74"/>
      <c r="W116" s="74"/>
    </row>
    <row r="117" spans="1:23" x14ac:dyDescent="0.25">
      <c r="A117" s="73" t="str">
        <f t="shared" si="192"/>
        <v>FWVUP</v>
      </c>
      <c r="B117" s="113" t="str">
        <f t="shared" si="193"/>
        <v>00</v>
      </c>
      <c r="C117" s="113" t="str">
        <f t="shared" si="194"/>
        <v>01</v>
      </c>
      <c r="D117" s="114">
        <f t="shared" si="195"/>
        <v>1900</v>
      </c>
      <c r="E117" s="114"/>
      <c r="F117" s="73" t="str">
        <f t="shared" si="196"/>
        <v>FWVUP000100</v>
      </c>
      <c r="M117" s="74"/>
      <c r="N117" s="74"/>
      <c r="O117" s="74"/>
      <c r="P117" s="266">
        <f>SUM(P112:P116)</f>
        <v>1726474.3599999999</v>
      </c>
      <c r="Q117" s="266"/>
      <c r="R117" s="74">
        <f>SUM(R112:R116)</f>
        <v>1726474.36</v>
      </c>
      <c r="S117" s="266">
        <f>+P117-R117</f>
        <v>0</v>
      </c>
      <c r="T117" s="74"/>
      <c r="U117" s="74"/>
      <c r="V117" s="74"/>
      <c r="W117" s="74"/>
    </row>
    <row r="118" spans="1:23" x14ac:dyDescent="0.25">
      <c r="A118" s="73" t="str">
        <f t="shared" si="192"/>
        <v>FWVUP</v>
      </c>
      <c r="B118" s="113" t="str">
        <f t="shared" si="193"/>
        <v>00</v>
      </c>
      <c r="C118" s="113" t="str">
        <f t="shared" si="194"/>
        <v>01</v>
      </c>
      <c r="D118" s="114">
        <f t="shared" si="195"/>
        <v>1900</v>
      </c>
      <c r="E118" s="114"/>
      <c r="F118" s="73" t="str">
        <f t="shared" si="196"/>
        <v>FWVUP000100</v>
      </c>
      <c r="M118" s="74"/>
      <c r="N118" s="74"/>
      <c r="O118" s="74"/>
      <c r="P118" s="74"/>
      <c r="Q118" s="74"/>
      <c r="R118" s="74"/>
      <c r="T118" s="74"/>
      <c r="U118" s="74"/>
      <c r="V118" s="74"/>
      <c r="W118" s="74"/>
    </row>
    <row r="119" spans="1:23" x14ac:dyDescent="0.25">
      <c r="A119" s="73" t="str">
        <f t="shared" si="192"/>
        <v>FWVUP</v>
      </c>
      <c r="B119" s="113" t="str">
        <f t="shared" si="193"/>
        <v>00</v>
      </c>
      <c r="C119" s="113" t="str">
        <f t="shared" si="194"/>
        <v>01</v>
      </c>
      <c r="D119" s="114">
        <f t="shared" si="195"/>
        <v>1900</v>
      </c>
      <c r="E119" s="114"/>
      <c r="F119" s="73" t="str">
        <f t="shared" si="196"/>
        <v>FWVUP000100</v>
      </c>
      <c r="M119" s="74"/>
      <c r="N119" s="74"/>
      <c r="O119" s="74"/>
      <c r="P119" s="74"/>
      <c r="Q119" s="74"/>
      <c r="R119" s="74"/>
      <c r="T119" s="74"/>
      <c r="U119" s="74"/>
      <c r="V119" s="74"/>
      <c r="W119" s="74"/>
    </row>
    <row r="120" spans="1:23" x14ac:dyDescent="0.25">
      <c r="A120" s="73" t="str">
        <f t="shared" si="192"/>
        <v>FWVUP</v>
      </c>
      <c r="B120" s="113" t="str">
        <f t="shared" si="193"/>
        <v>00</v>
      </c>
      <c r="C120" s="113" t="str">
        <f t="shared" si="194"/>
        <v>01</v>
      </c>
      <c r="D120" s="114">
        <f t="shared" si="195"/>
        <v>1900</v>
      </c>
      <c r="E120" s="114"/>
      <c r="F120" s="73" t="str">
        <f t="shared" si="196"/>
        <v>FWVUP000100</v>
      </c>
      <c r="M120" s="74"/>
      <c r="N120" s="74"/>
      <c r="O120" s="74"/>
      <c r="P120" s="74"/>
      <c r="Q120" s="74"/>
      <c r="R120" s="74"/>
      <c r="T120" s="74"/>
      <c r="U120" s="74"/>
      <c r="V120" s="74"/>
      <c r="W120" s="74"/>
    </row>
    <row r="121" spans="1:23" x14ac:dyDescent="0.25">
      <c r="A121" s="73" t="str">
        <f t="shared" si="192"/>
        <v>FWVUP</v>
      </c>
      <c r="B121" s="113" t="str">
        <f t="shared" si="193"/>
        <v>00</v>
      </c>
      <c r="C121" s="113" t="str">
        <f t="shared" si="194"/>
        <v>01</v>
      </c>
      <c r="D121" s="114">
        <f t="shared" si="195"/>
        <v>1900</v>
      </c>
      <c r="E121" s="114"/>
      <c r="F121" s="73" t="str">
        <f t="shared" si="196"/>
        <v>FWVUP000100</v>
      </c>
      <c r="M121" s="74"/>
      <c r="N121" s="74"/>
      <c r="O121" s="74"/>
      <c r="P121" s="74"/>
      <c r="Q121" s="74"/>
      <c r="R121" s="74"/>
      <c r="T121" s="74"/>
      <c r="U121" s="74"/>
      <c r="V121" s="74"/>
      <c r="W121" s="74"/>
    </row>
    <row r="122" spans="1:23" x14ac:dyDescent="0.25">
      <c r="A122" s="73" t="str">
        <f t="shared" si="192"/>
        <v>FWVUP</v>
      </c>
      <c r="B122" s="113" t="str">
        <f t="shared" si="193"/>
        <v>00</v>
      </c>
      <c r="C122" s="113" t="str">
        <f t="shared" si="194"/>
        <v>01</v>
      </c>
      <c r="D122" s="114">
        <f t="shared" si="195"/>
        <v>1900</v>
      </c>
      <c r="E122" s="114"/>
      <c r="F122" s="73" t="str">
        <f t="shared" si="196"/>
        <v>FWVUP000100</v>
      </c>
      <c r="M122" s="74"/>
      <c r="N122" s="74"/>
      <c r="O122" s="74"/>
      <c r="P122" s="74"/>
      <c r="Q122" s="74"/>
      <c r="R122" s="74"/>
      <c r="T122" s="74"/>
      <c r="U122" s="74"/>
      <c r="V122" s="74"/>
      <c r="W122" s="74"/>
    </row>
    <row r="123" spans="1:23" x14ac:dyDescent="0.25">
      <c r="A123" s="73" t="str">
        <f t="shared" si="192"/>
        <v>FWVUP</v>
      </c>
      <c r="B123" s="113" t="str">
        <f t="shared" si="193"/>
        <v>00</v>
      </c>
      <c r="C123" s="113" t="str">
        <f t="shared" si="194"/>
        <v>01</v>
      </c>
      <c r="D123" s="114">
        <f t="shared" si="195"/>
        <v>1900</v>
      </c>
      <c r="E123" s="114"/>
      <c r="F123" s="73" t="str">
        <f t="shared" si="196"/>
        <v>FWVUP000100</v>
      </c>
      <c r="M123" s="74"/>
      <c r="N123" s="74"/>
      <c r="O123" s="74"/>
      <c r="P123" s="74"/>
      <c r="Q123" s="74"/>
      <c r="R123" s="74"/>
      <c r="T123" s="74"/>
      <c r="U123" s="74"/>
      <c r="V123" s="74"/>
      <c r="W123" s="74"/>
    </row>
    <row r="124" spans="1:23" x14ac:dyDescent="0.25">
      <c r="A124" s="73" t="str">
        <f t="shared" si="192"/>
        <v>FWVUP</v>
      </c>
      <c r="B124" s="113" t="str">
        <f t="shared" si="193"/>
        <v>00</v>
      </c>
      <c r="C124" s="113" t="str">
        <f t="shared" si="194"/>
        <v>01</v>
      </c>
      <c r="D124" s="114">
        <f t="shared" si="195"/>
        <v>1900</v>
      </c>
      <c r="E124" s="114"/>
      <c r="F124" s="73" t="str">
        <f t="shared" si="196"/>
        <v>FWVUP000100</v>
      </c>
      <c r="M124" s="74"/>
      <c r="N124" s="74"/>
      <c r="O124" s="74"/>
      <c r="P124" s="74"/>
      <c r="Q124" s="74"/>
      <c r="R124" s="74"/>
      <c r="T124" s="74"/>
      <c r="U124" s="74"/>
      <c r="V124" s="74"/>
      <c r="W124" s="74"/>
    </row>
    <row r="125" spans="1:23" x14ac:dyDescent="0.25">
      <c r="A125" s="73" t="str">
        <f t="shared" si="192"/>
        <v>FWVUP</v>
      </c>
      <c r="B125" s="113" t="str">
        <f t="shared" si="193"/>
        <v>00</v>
      </c>
      <c r="C125" s="113" t="str">
        <f t="shared" si="194"/>
        <v>01</v>
      </c>
      <c r="D125" s="114">
        <f t="shared" si="195"/>
        <v>1900</v>
      </c>
      <c r="E125" s="114"/>
      <c r="F125" s="73" t="str">
        <f t="shared" si="196"/>
        <v>FWVUP000100</v>
      </c>
      <c r="P125" s="74"/>
      <c r="Q125" s="74"/>
      <c r="R125" s="74"/>
      <c r="T125" s="74"/>
      <c r="U125" s="74"/>
      <c r="V125" s="74"/>
      <c r="W125" s="74"/>
    </row>
    <row r="126" spans="1:23" x14ac:dyDescent="0.25">
      <c r="A126" s="73" t="str">
        <f t="shared" si="192"/>
        <v>FWVUP</v>
      </c>
      <c r="B126" s="113" t="str">
        <f t="shared" si="193"/>
        <v>00</v>
      </c>
      <c r="C126" s="113" t="str">
        <f t="shared" si="194"/>
        <v>01</v>
      </c>
      <c r="D126" s="114">
        <f t="shared" si="195"/>
        <v>1900</v>
      </c>
      <c r="E126" s="114"/>
      <c r="F126" s="73" t="str">
        <f t="shared" si="196"/>
        <v>FWVUP000100</v>
      </c>
      <c r="P126" s="74"/>
      <c r="Q126" s="74"/>
      <c r="R126" s="74"/>
      <c r="T126" s="74"/>
      <c r="U126" s="74"/>
      <c r="V126" s="74"/>
      <c r="W126" s="74"/>
    </row>
    <row r="127" spans="1:23" x14ac:dyDescent="0.25">
      <c r="A127" s="73" t="str">
        <f t="shared" si="192"/>
        <v>FWVUP</v>
      </c>
      <c r="B127" s="113" t="str">
        <f t="shared" si="193"/>
        <v>00</v>
      </c>
      <c r="C127" s="113" t="str">
        <f t="shared" si="194"/>
        <v>01</v>
      </c>
      <c r="D127" s="114">
        <f t="shared" si="195"/>
        <v>1900</v>
      </c>
      <c r="E127" s="114"/>
      <c r="F127" s="73" t="str">
        <f t="shared" si="196"/>
        <v>FWVUP000100</v>
      </c>
      <c r="P127" s="74"/>
      <c r="Q127" s="74"/>
      <c r="R127" s="74"/>
      <c r="T127" s="74"/>
      <c r="U127" s="74"/>
      <c r="V127" s="74"/>
      <c r="W127" s="74"/>
    </row>
    <row r="128" spans="1:23" x14ac:dyDescent="0.25">
      <c r="A128" s="73" t="str">
        <f t="shared" si="192"/>
        <v>FWVUP</v>
      </c>
      <c r="B128" s="113" t="str">
        <f t="shared" si="193"/>
        <v>00</v>
      </c>
      <c r="C128" s="113" t="str">
        <f t="shared" si="194"/>
        <v>01</v>
      </c>
      <c r="D128" s="114">
        <f t="shared" si="195"/>
        <v>1900</v>
      </c>
      <c r="E128" s="114"/>
      <c r="F128" s="73" t="str">
        <f t="shared" si="196"/>
        <v>FWVUP000100</v>
      </c>
      <c r="P128" s="74"/>
      <c r="Q128" s="74"/>
      <c r="R128" s="74"/>
      <c r="T128" s="74"/>
      <c r="U128" s="74"/>
      <c r="V128" s="74"/>
      <c r="W128" s="74"/>
    </row>
    <row r="129" spans="1:23" x14ac:dyDescent="0.25">
      <c r="A129" s="73" t="str">
        <f t="shared" si="192"/>
        <v>FWVUP</v>
      </c>
      <c r="B129" s="113" t="str">
        <f t="shared" si="193"/>
        <v>00</v>
      </c>
      <c r="C129" s="113" t="str">
        <f t="shared" si="194"/>
        <v>01</v>
      </c>
      <c r="D129" s="114">
        <f t="shared" si="195"/>
        <v>1900</v>
      </c>
      <c r="E129" s="114"/>
      <c r="F129" s="73" t="str">
        <f t="shared" si="196"/>
        <v>FWVUP000100</v>
      </c>
      <c r="P129" s="74"/>
      <c r="Q129" s="74"/>
      <c r="R129" s="74"/>
      <c r="T129" s="74"/>
      <c r="U129" s="74"/>
      <c r="V129" s="74"/>
      <c r="W129" s="74"/>
    </row>
    <row r="130" spans="1:23" x14ac:dyDescent="0.25">
      <c r="A130" s="73" t="str">
        <f t="shared" si="192"/>
        <v>FWVUP</v>
      </c>
      <c r="B130" s="113" t="str">
        <f t="shared" si="193"/>
        <v>00</v>
      </c>
      <c r="C130" s="113" t="str">
        <f t="shared" si="194"/>
        <v>01</v>
      </c>
      <c r="D130" s="114">
        <f t="shared" si="195"/>
        <v>1900</v>
      </c>
      <c r="E130" s="114"/>
      <c r="F130" s="73" t="str">
        <f t="shared" si="196"/>
        <v>FWVUP000100</v>
      </c>
      <c r="P130" s="74"/>
      <c r="Q130" s="74"/>
      <c r="R130" s="74"/>
      <c r="T130" s="74"/>
      <c r="U130" s="74"/>
      <c r="V130" s="74"/>
      <c r="W130" s="74"/>
    </row>
    <row r="131" spans="1:23" x14ac:dyDescent="0.25">
      <c r="A131" s="73" t="str">
        <f t="shared" si="192"/>
        <v>FWVUP</v>
      </c>
      <c r="B131" s="113" t="str">
        <f t="shared" si="193"/>
        <v>00</v>
      </c>
      <c r="C131" s="113" t="str">
        <f t="shared" si="194"/>
        <v>01</v>
      </c>
      <c r="D131" s="114">
        <f t="shared" si="195"/>
        <v>1900</v>
      </c>
      <c r="E131" s="114"/>
      <c r="F131" s="73" t="str">
        <f t="shared" si="196"/>
        <v>FWVUP000100</v>
      </c>
      <c r="P131" s="74"/>
      <c r="Q131" s="74"/>
      <c r="R131" s="74"/>
      <c r="T131" s="74"/>
      <c r="U131" s="74"/>
      <c r="V131" s="74"/>
      <c r="W131" s="74"/>
    </row>
    <row r="132" spans="1:23" x14ac:dyDescent="0.25">
      <c r="A132" s="73" t="str">
        <f t="shared" si="192"/>
        <v>FWVUP</v>
      </c>
      <c r="B132" s="113" t="str">
        <f t="shared" si="193"/>
        <v>00</v>
      </c>
      <c r="C132" s="113" t="str">
        <f t="shared" si="194"/>
        <v>01</v>
      </c>
      <c r="D132" s="114">
        <f t="shared" si="195"/>
        <v>1900</v>
      </c>
      <c r="E132" s="114"/>
      <c r="F132" s="73" t="str">
        <f t="shared" si="196"/>
        <v>FWVUP000100</v>
      </c>
      <c r="P132" s="74"/>
      <c r="Q132" s="74"/>
      <c r="R132" s="74"/>
      <c r="T132" s="74"/>
      <c r="U132" s="74"/>
      <c r="V132" s="74"/>
      <c r="W132" s="74"/>
    </row>
    <row r="133" spans="1:23" x14ac:dyDescent="0.25">
      <c r="A133" s="73" t="str">
        <f t="shared" si="192"/>
        <v>FWVUP</v>
      </c>
      <c r="B133" s="113" t="str">
        <f t="shared" si="193"/>
        <v>00</v>
      </c>
      <c r="C133" s="113" t="str">
        <f t="shared" si="194"/>
        <v>01</v>
      </c>
      <c r="D133" s="114">
        <f t="shared" si="195"/>
        <v>1900</v>
      </c>
      <c r="E133" s="114"/>
      <c r="F133" s="73" t="str">
        <f t="shared" si="196"/>
        <v>FWVUP000100</v>
      </c>
      <c r="P133" s="74"/>
      <c r="Q133" s="74"/>
      <c r="R133" s="74"/>
      <c r="T133" s="74"/>
      <c r="U133" s="74"/>
      <c r="V133" s="74"/>
      <c r="W133" s="74"/>
    </row>
    <row r="134" spans="1:23" x14ac:dyDescent="0.25">
      <c r="A134" s="73" t="str">
        <f t="shared" si="192"/>
        <v>FWVUP</v>
      </c>
      <c r="B134" s="113" t="str">
        <f t="shared" si="193"/>
        <v>00</v>
      </c>
      <c r="C134" s="113" t="str">
        <f t="shared" si="194"/>
        <v>01</v>
      </c>
      <c r="D134" s="114">
        <f t="shared" si="195"/>
        <v>1900</v>
      </c>
      <c r="E134" s="114"/>
      <c r="F134" s="73" t="str">
        <f t="shared" si="196"/>
        <v>FWVUP000100</v>
      </c>
      <c r="O134" s="73" t="s">
        <v>66</v>
      </c>
      <c r="P134" s="74"/>
      <c r="Q134" s="74"/>
      <c r="R134" s="74"/>
      <c r="T134" s="74"/>
      <c r="U134" s="74"/>
      <c r="V134" s="74"/>
      <c r="W134" s="74"/>
    </row>
    <row r="135" spans="1:23" x14ac:dyDescent="0.25">
      <c r="A135" s="73" t="str">
        <f t="shared" si="192"/>
        <v>FWVUP</v>
      </c>
      <c r="B135" s="113" t="str">
        <f t="shared" si="193"/>
        <v>00</v>
      </c>
      <c r="C135" s="113" t="str">
        <f t="shared" si="194"/>
        <v>01</v>
      </c>
      <c r="D135" s="114">
        <f t="shared" si="195"/>
        <v>1900</v>
      </c>
      <c r="E135" s="114"/>
      <c r="F135" s="73" t="str">
        <f t="shared" si="196"/>
        <v>FWVUP000100</v>
      </c>
      <c r="P135" s="74"/>
      <c r="Q135" s="74"/>
      <c r="R135" s="74"/>
      <c r="T135" s="74"/>
      <c r="U135" s="74"/>
      <c r="V135" s="74"/>
      <c r="W135" s="74"/>
    </row>
    <row r="136" spans="1:23" x14ac:dyDescent="0.25">
      <c r="A136" s="73" t="str">
        <f t="shared" si="192"/>
        <v>FWVUP</v>
      </c>
      <c r="B136" s="113" t="str">
        <f t="shared" si="193"/>
        <v>00</v>
      </c>
      <c r="C136" s="113" t="str">
        <f t="shared" si="194"/>
        <v>01</v>
      </c>
      <c r="D136" s="114">
        <f t="shared" si="195"/>
        <v>1900</v>
      </c>
      <c r="E136" s="114"/>
      <c r="F136" s="73" t="str">
        <f t="shared" si="196"/>
        <v>FWVUP000100</v>
      </c>
      <c r="P136" s="74"/>
      <c r="Q136" s="74"/>
      <c r="R136" s="74"/>
      <c r="T136" s="74"/>
      <c r="U136" s="74"/>
      <c r="V136" s="74"/>
      <c r="W136" s="74"/>
    </row>
    <row r="137" spans="1:23" x14ac:dyDescent="0.25">
      <c r="A137" s="73" t="str">
        <f t="shared" si="192"/>
        <v>FWVUP</v>
      </c>
      <c r="B137" s="113" t="str">
        <f t="shared" si="193"/>
        <v>00</v>
      </c>
      <c r="C137" s="113" t="str">
        <f t="shared" si="194"/>
        <v>01</v>
      </c>
      <c r="D137" s="114">
        <f t="shared" si="195"/>
        <v>1900</v>
      </c>
      <c r="E137" s="114"/>
      <c r="F137" s="73" t="str">
        <f t="shared" si="196"/>
        <v>FWVUP000100</v>
      </c>
      <c r="P137" s="74"/>
      <c r="Q137" s="74"/>
      <c r="R137" s="74"/>
      <c r="T137" s="74"/>
      <c r="U137" s="74"/>
      <c r="V137" s="74"/>
      <c r="W137" s="74"/>
    </row>
    <row r="138" spans="1:23" x14ac:dyDescent="0.25">
      <c r="A138" s="73" t="str">
        <f t="shared" si="192"/>
        <v>FWVUP</v>
      </c>
      <c r="B138" s="113" t="str">
        <f t="shared" si="193"/>
        <v>00</v>
      </c>
      <c r="C138" s="113" t="str">
        <f t="shared" si="194"/>
        <v>01</v>
      </c>
      <c r="D138" s="114">
        <f t="shared" si="195"/>
        <v>1900</v>
      </c>
      <c r="E138" s="114"/>
      <c r="F138" s="73" t="str">
        <f t="shared" si="196"/>
        <v>FWVUP000100</v>
      </c>
      <c r="P138" s="74"/>
      <c r="Q138" s="74"/>
      <c r="R138" s="74"/>
      <c r="T138" s="74"/>
      <c r="U138" s="74"/>
      <c r="V138" s="74"/>
      <c r="W138" s="74"/>
    </row>
    <row r="139" spans="1:23" x14ac:dyDescent="0.25">
      <c r="A139" s="73" t="str">
        <f t="shared" si="192"/>
        <v>FWVUP</v>
      </c>
      <c r="B139" s="113" t="str">
        <f t="shared" si="193"/>
        <v>00</v>
      </c>
      <c r="C139" s="113" t="str">
        <f t="shared" si="194"/>
        <v>01</v>
      </c>
      <c r="D139" s="114">
        <f t="shared" si="195"/>
        <v>1900</v>
      </c>
      <c r="E139" s="114"/>
      <c r="F139" s="73" t="str">
        <f t="shared" si="196"/>
        <v>FWVUP000100</v>
      </c>
      <c r="P139" s="74"/>
      <c r="Q139" s="74"/>
      <c r="R139" s="74"/>
      <c r="T139" s="74"/>
      <c r="U139" s="74"/>
      <c r="V139" s="74"/>
      <c r="W139" s="74"/>
    </row>
    <row r="140" spans="1:23" x14ac:dyDescent="0.25">
      <c r="A140" s="73" t="str">
        <f t="shared" si="192"/>
        <v>FWVUP</v>
      </c>
      <c r="B140" s="113" t="str">
        <f t="shared" si="193"/>
        <v>00</v>
      </c>
      <c r="C140" s="113" t="str">
        <f t="shared" si="194"/>
        <v>01</v>
      </c>
      <c r="D140" s="114">
        <f t="shared" si="195"/>
        <v>1900</v>
      </c>
      <c r="E140" s="114"/>
      <c r="F140" s="73" t="str">
        <f t="shared" ref="F140:F171" si="197">CONCATENATE(A139,B139,C139,RIGHT(D139,2))</f>
        <v>FWVUP000100</v>
      </c>
      <c r="P140" s="74"/>
      <c r="Q140" s="74"/>
      <c r="R140" s="74"/>
      <c r="T140" s="74"/>
      <c r="U140" s="74"/>
      <c r="V140" s="74"/>
      <c r="W140" s="74"/>
    </row>
    <row r="141" spans="1:23" x14ac:dyDescent="0.25">
      <c r="A141" s="73" t="str">
        <f t="shared" si="192"/>
        <v>FWVUP</v>
      </c>
      <c r="B141" s="113" t="str">
        <f t="shared" si="193"/>
        <v>00</v>
      </c>
      <c r="C141" s="113" t="str">
        <f t="shared" si="194"/>
        <v>01</v>
      </c>
      <c r="D141" s="114">
        <f t="shared" si="195"/>
        <v>1900</v>
      </c>
      <c r="E141" s="114"/>
      <c r="F141" s="73" t="str">
        <f t="shared" si="197"/>
        <v>FWVUP000100</v>
      </c>
      <c r="M141" s="74"/>
      <c r="N141" s="74"/>
      <c r="O141" s="74"/>
      <c r="P141" s="74"/>
      <c r="Q141" s="74"/>
      <c r="R141" s="74"/>
      <c r="T141" s="74"/>
      <c r="U141" s="74"/>
      <c r="V141" s="74"/>
      <c r="W141" s="74"/>
    </row>
    <row r="142" spans="1:23" x14ac:dyDescent="0.25">
      <c r="A142" s="73" t="str">
        <f t="shared" si="192"/>
        <v>FWVUP</v>
      </c>
      <c r="B142" s="113" t="str">
        <f t="shared" si="193"/>
        <v>00</v>
      </c>
      <c r="C142" s="113" t="str">
        <f t="shared" si="194"/>
        <v>01</v>
      </c>
      <c r="D142" s="114">
        <f t="shared" si="195"/>
        <v>1900</v>
      </c>
      <c r="E142" s="114"/>
      <c r="F142" s="73" t="str">
        <f t="shared" si="197"/>
        <v>FWVUP000100</v>
      </c>
      <c r="M142" s="74"/>
      <c r="N142" s="74"/>
      <c r="O142" s="74"/>
      <c r="P142" s="74"/>
      <c r="Q142" s="74"/>
      <c r="R142" s="74"/>
      <c r="T142" s="74"/>
      <c r="U142" s="74"/>
      <c r="V142" s="74"/>
      <c r="W142" s="74"/>
    </row>
    <row r="143" spans="1:23" x14ac:dyDescent="0.25">
      <c r="A143" s="73" t="str">
        <f t="shared" si="192"/>
        <v>FWVUP</v>
      </c>
      <c r="B143" s="113" t="str">
        <f t="shared" si="193"/>
        <v>00</v>
      </c>
      <c r="C143" s="113" t="str">
        <f t="shared" si="194"/>
        <v>01</v>
      </c>
      <c r="D143" s="114">
        <f t="shared" si="195"/>
        <v>1900</v>
      </c>
      <c r="E143" s="114"/>
      <c r="F143" s="73" t="str">
        <f t="shared" si="197"/>
        <v>FWVUP000100</v>
      </c>
      <c r="M143" s="74"/>
      <c r="N143" s="74"/>
      <c r="O143" s="74"/>
      <c r="P143" s="74"/>
      <c r="Q143" s="74"/>
      <c r="R143" s="74"/>
      <c r="T143" s="74"/>
      <c r="U143" s="74"/>
      <c r="V143" s="74"/>
      <c r="W143" s="74"/>
    </row>
    <row r="144" spans="1:23" x14ac:dyDescent="0.25">
      <c r="A144" s="73" t="str">
        <f t="shared" si="192"/>
        <v>FWVUP</v>
      </c>
      <c r="B144" s="113" t="str">
        <f t="shared" si="193"/>
        <v>00</v>
      </c>
      <c r="C144" s="113" t="str">
        <f t="shared" si="194"/>
        <v>01</v>
      </c>
      <c r="D144" s="114">
        <f t="shared" si="195"/>
        <v>1900</v>
      </c>
      <c r="E144" s="114"/>
      <c r="F144" s="73" t="str">
        <f t="shared" si="197"/>
        <v>FWVUP000100</v>
      </c>
      <c r="M144" s="74"/>
      <c r="N144" s="74"/>
      <c r="O144" s="74"/>
      <c r="P144" s="74"/>
      <c r="Q144" s="74"/>
      <c r="R144" s="74"/>
      <c r="T144" s="74"/>
      <c r="U144" s="74"/>
      <c r="V144" s="74"/>
      <c r="W144" s="74"/>
    </row>
    <row r="145" spans="1:23" x14ac:dyDescent="0.25">
      <c r="A145" s="73" t="str">
        <f t="shared" ref="A145:A208" si="198">IF(J146="US$","FWC*P","FWVUP")</f>
        <v>FWVUP</v>
      </c>
      <c r="B145" s="113" t="str">
        <f t="shared" ref="B145:B208" si="199">IF(DAY(I146)&lt;10,CONCATENATE(0,DAY(I146)),DAY(I146))</f>
        <v>00</v>
      </c>
      <c r="C145" s="113" t="str">
        <f t="shared" ref="C145:C208" si="200">IF(MONTH(I146)&lt;10,CONCATENATE(0,MONTH(I146)),MONTH(I146))</f>
        <v>01</v>
      </c>
      <c r="D145" s="114">
        <f t="shared" ref="D145:D208" si="201">YEAR(I146)</f>
        <v>1900</v>
      </c>
      <c r="E145" s="114"/>
      <c r="F145" s="73" t="str">
        <f t="shared" si="197"/>
        <v>FWVUP000100</v>
      </c>
      <c r="M145" s="74"/>
      <c r="N145" s="74"/>
      <c r="O145" s="74"/>
      <c r="P145" s="74"/>
      <c r="Q145" s="74"/>
      <c r="R145" s="74"/>
      <c r="T145" s="74"/>
      <c r="U145" s="74"/>
      <c r="V145" s="74"/>
      <c r="W145" s="74"/>
    </row>
    <row r="146" spans="1:23" x14ac:dyDescent="0.25">
      <c r="A146" s="73" t="str">
        <f t="shared" si="198"/>
        <v>FWVUP</v>
      </c>
      <c r="B146" s="113" t="str">
        <f t="shared" si="199"/>
        <v>00</v>
      </c>
      <c r="C146" s="113" t="str">
        <f t="shared" si="200"/>
        <v>01</v>
      </c>
      <c r="D146" s="114">
        <f t="shared" si="201"/>
        <v>1900</v>
      </c>
      <c r="E146" s="114"/>
      <c r="F146" s="73" t="str">
        <f t="shared" si="197"/>
        <v>FWVUP000100</v>
      </c>
      <c r="M146" s="74"/>
      <c r="N146" s="74"/>
      <c r="O146" s="74"/>
      <c r="P146" s="74"/>
      <c r="Q146" s="74"/>
      <c r="R146" s="74"/>
      <c r="T146" s="74"/>
      <c r="U146" s="74"/>
      <c r="V146" s="74"/>
      <c r="W146" s="74"/>
    </row>
    <row r="147" spans="1:23" x14ac:dyDescent="0.25">
      <c r="A147" s="73" t="str">
        <f t="shared" si="198"/>
        <v>FWVUP</v>
      </c>
      <c r="B147" s="113" t="str">
        <f t="shared" si="199"/>
        <v>00</v>
      </c>
      <c r="C147" s="113" t="str">
        <f t="shared" si="200"/>
        <v>01</v>
      </c>
      <c r="D147" s="114">
        <f t="shared" si="201"/>
        <v>1900</v>
      </c>
      <c r="E147" s="114"/>
      <c r="F147" s="73" t="str">
        <f t="shared" si="197"/>
        <v>FWVUP000100</v>
      </c>
      <c r="M147" s="74"/>
      <c r="N147" s="74"/>
      <c r="O147" s="74"/>
      <c r="P147" s="74"/>
      <c r="Q147" s="74"/>
      <c r="R147" s="74"/>
      <c r="T147" s="74"/>
      <c r="U147" s="74"/>
      <c r="V147" s="74"/>
      <c r="W147" s="74"/>
    </row>
    <row r="148" spans="1:23" x14ac:dyDescent="0.25">
      <c r="A148" s="73" t="str">
        <f t="shared" si="198"/>
        <v>FWVUP</v>
      </c>
      <c r="B148" s="113" t="str">
        <f t="shared" si="199"/>
        <v>00</v>
      </c>
      <c r="C148" s="113" t="str">
        <f t="shared" si="200"/>
        <v>01</v>
      </c>
      <c r="D148" s="114">
        <f t="shared" si="201"/>
        <v>1900</v>
      </c>
      <c r="E148" s="114"/>
      <c r="F148" s="73" t="str">
        <f t="shared" si="197"/>
        <v>FWVUP000100</v>
      </c>
      <c r="M148" s="74"/>
      <c r="N148" s="74"/>
      <c r="O148" s="74"/>
      <c r="P148" s="74"/>
      <c r="Q148" s="74"/>
      <c r="R148" s="74"/>
      <c r="T148" s="74"/>
      <c r="U148" s="74"/>
      <c r="V148" s="74"/>
      <c r="W148" s="74"/>
    </row>
    <row r="149" spans="1:23" x14ac:dyDescent="0.25">
      <c r="A149" s="73" t="str">
        <f t="shared" si="198"/>
        <v>FWVUP</v>
      </c>
      <c r="B149" s="113" t="str">
        <f t="shared" si="199"/>
        <v>00</v>
      </c>
      <c r="C149" s="113" t="str">
        <f t="shared" si="200"/>
        <v>01</v>
      </c>
      <c r="D149" s="114">
        <f t="shared" si="201"/>
        <v>1900</v>
      </c>
      <c r="E149" s="114"/>
      <c r="F149" s="73" t="str">
        <f t="shared" si="197"/>
        <v>FWVUP000100</v>
      </c>
      <c r="M149" s="74"/>
      <c r="N149" s="74"/>
      <c r="O149" s="74"/>
      <c r="P149" s="74"/>
      <c r="Q149" s="74"/>
      <c r="R149" s="74"/>
      <c r="T149" s="74"/>
      <c r="U149" s="74"/>
      <c r="V149" s="74"/>
      <c r="W149" s="74"/>
    </row>
    <row r="150" spans="1:23" x14ac:dyDescent="0.25">
      <c r="A150" s="73" t="str">
        <f t="shared" si="198"/>
        <v>FWVUP</v>
      </c>
      <c r="B150" s="113" t="str">
        <f t="shared" si="199"/>
        <v>00</v>
      </c>
      <c r="C150" s="113" t="str">
        <f t="shared" si="200"/>
        <v>01</v>
      </c>
      <c r="D150" s="114">
        <f t="shared" si="201"/>
        <v>1900</v>
      </c>
      <c r="E150" s="114"/>
      <c r="F150" s="73" t="str">
        <f t="shared" si="197"/>
        <v>FWVUP000100</v>
      </c>
      <c r="M150" s="74"/>
      <c r="N150" s="74"/>
      <c r="O150" s="74"/>
      <c r="P150" s="74"/>
      <c r="Q150" s="74"/>
      <c r="R150" s="74"/>
      <c r="T150" s="74"/>
      <c r="U150" s="74"/>
      <c r="V150" s="74"/>
      <c r="W150" s="74"/>
    </row>
    <row r="151" spans="1:23" x14ac:dyDescent="0.25">
      <c r="A151" s="73" t="str">
        <f t="shared" si="198"/>
        <v>FWVUP</v>
      </c>
      <c r="B151" s="113" t="str">
        <f t="shared" si="199"/>
        <v>00</v>
      </c>
      <c r="C151" s="113" t="str">
        <f t="shared" si="200"/>
        <v>01</v>
      </c>
      <c r="D151" s="114">
        <f t="shared" si="201"/>
        <v>1900</v>
      </c>
      <c r="E151" s="114"/>
      <c r="F151" s="73" t="str">
        <f t="shared" si="197"/>
        <v>FWVUP000100</v>
      </c>
      <c r="M151" s="74"/>
      <c r="N151" s="74"/>
      <c r="O151" s="74"/>
      <c r="P151" s="74"/>
      <c r="Q151" s="74"/>
      <c r="R151" s="74"/>
      <c r="T151" s="74"/>
      <c r="U151" s="74"/>
      <c r="V151" s="74"/>
      <c r="W151" s="74"/>
    </row>
    <row r="152" spans="1:23" x14ac:dyDescent="0.25">
      <c r="A152" s="73" t="str">
        <f t="shared" si="198"/>
        <v>FWVUP</v>
      </c>
      <c r="B152" s="113" t="str">
        <f t="shared" si="199"/>
        <v>00</v>
      </c>
      <c r="C152" s="113" t="str">
        <f t="shared" si="200"/>
        <v>01</v>
      </c>
      <c r="D152" s="114">
        <f t="shared" si="201"/>
        <v>1900</v>
      </c>
      <c r="E152" s="114"/>
      <c r="F152" s="73" t="str">
        <f t="shared" si="197"/>
        <v>FWVUP000100</v>
      </c>
      <c r="M152" s="74"/>
      <c r="N152" s="74"/>
      <c r="O152" s="74"/>
      <c r="P152" s="74"/>
      <c r="Q152" s="74"/>
      <c r="R152" s="74"/>
      <c r="T152" s="74"/>
      <c r="U152" s="74"/>
      <c r="V152" s="74"/>
      <c r="W152" s="74"/>
    </row>
    <row r="153" spans="1:23" x14ac:dyDescent="0.25">
      <c r="A153" s="73" t="str">
        <f t="shared" si="198"/>
        <v>FWVUP</v>
      </c>
      <c r="B153" s="113" t="str">
        <f t="shared" si="199"/>
        <v>00</v>
      </c>
      <c r="C153" s="113" t="str">
        <f t="shared" si="200"/>
        <v>01</v>
      </c>
      <c r="D153" s="114">
        <f t="shared" si="201"/>
        <v>1900</v>
      </c>
      <c r="E153" s="114"/>
      <c r="F153" s="73" t="str">
        <f t="shared" si="197"/>
        <v>FWVUP000100</v>
      </c>
      <c r="M153" s="74"/>
      <c r="N153" s="74"/>
      <c r="O153" s="74"/>
      <c r="P153" s="74"/>
      <c r="Q153" s="74"/>
      <c r="R153" s="74"/>
      <c r="T153" s="74"/>
      <c r="U153" s="74"/>
      <c r="V153" s="74"/>
      <c r="W153" s="74"/>
    </row>
    <row r="154" spans="1:23" x14ac:dyDescent="0.25">
      <c r="A154" s="73" t="str">
        <f t="shared" si="198"/>
        <v>FWVUP</v>
      </c>
      <c r="B154" s="113" t="str">
        <f t="shared" si="199"/>
        <v>00</v>
      </c>
      <c r="C154" s="113" t="str">
        <f t="shared" si="200"/>
        <v>01</v>
      </c>
      <c r="D154" s="114">
        <f t="shared" si="201"/>
        <v>1900</v>
      </c>
      <c r="E154" s="114"/>
      <c r="F154" s="73" t="str">
        <f t="shared" si="197"/>
        <v>FWVUP000100</v>
      </c>
      <c r="M154" s="74"/>
      <c r="N154" s="74"/>
      <c r="O154" s="74"/>
      <c r="P154" s="74"/>
      <c r="Q154" s="74"/>
      <c r="R154" s="74"/>
      <c r="T154" s="74"/>
      <c r="U154" s="74"/>
      <c r="V154" s="74"/>
      <c r="W154" s="74"/>
    </row>
    <row r="155" spans="1:23" x14ac:dyDescent="0.25">
      <c r="A155" s="73" t="str">
        <f t="shared" si="198"/>
        <v>FWVUP</v>
      </c>
      <c r="B155" s="113" t="str">
        <f t="shared" si="199"/>
        <v>00</v>
      </c>
      <c r="C155" s="113" t="str">
        <f t="shared" si="200"/>
        <v>01</v>
      </c>
      <c r="D155" s="114">
        <f t="shared" si="201"/>
        <v>1900</v>
      </c>
      <c r="E155" s="114"/>
      <c r="F155" s="73" t="str">
        <f t="shared" si="197"/>
        <v>FWVUP000100</v>
      </c>
      <c r="M155" s="74"/>
      <c r="N155" s="74"/>
      <c r="O155" s="74"/>
      <c r="P155" s="74"/>
      <c r="Q155" s="74"/>
      <c r="R155" s="74"/>
      <c r="T155" s="74"/>
      <c r="U155" s="74"/>
      <c r="V155" s="74"/>
      <c r="W155" s="74"/>
    </row>
    <row r="156" spans="1:23" x14ac:dyDescent="0.25">
      <c r="A156" s="73" t="str">
        <f t="shared" si="198"/>
        <v>FWVUP</v>
      </c>
      <c r="B156" s="113" t="str">
        <f t="shared" si="199"/>
        <v>00</v>
      </c>
      <c r="C156" s="113" t="str">
        <f t="shared" si="200"/>
        <v>01</v>
      </c>
      <c r="D156" s="114">
        <f t="shared" si="201"/>
        <v>1900</v>
      </c>
      <c r="E156" s="114"/>
      <c r="F156" s="73" t="str">
        <f t="shared" si="197"/>
        <v>FWVUP000100</v>
      </c>
      <c r="M156" s="74"/>
      <c r="N156" s="74"/>
      <c r="O156" s="74"/>
      <c r="P156" s="74"/>
      <c r="Q156" s="74"/>
      <c r="R156" s="74"/>
      <c r="T156" s="74"/>
      <c r="U156" s="74"/>
      <c r="V156" s="74"/>
      <c r="W156" s="74"/>
    </row>
    <row r="157" spans="1:23" x14ac:dyDescent="0.25">
      <c r="A157" s="73" t="str">
        <f t="shared" si="198"/>
        <v>FWVUP</v>
      </c>
      <c r="B157" s="113" t="str">
        <f t="shared" si="199"/>
        <v>00</v>
      </c>
      <c r="C157" s="113" t="str">
        <f t="shared" si="200"/>
        <v>01</v>
      </c>
      <c r="D157" s="114">
        <f t="shared" si="201"/>
        <v>1900</v>
      </c>
      <c r="E157" s="114"/>
      <c r="F157" s="73" t="str">
        <f t="shared" si="197"/>
        <v>FWVUP000100</v>
      </c>
      <c r="M157" s="74"/>
      <c r="N157" s="74"/>
      <c r="O157" s="74"/>
      <c r="P157" s="74"/>
      <c r="Q157" s="74"/>
      <c r="R157" s="74"/>
      <c r="T157" s="74"/>
      <c r="U157" s="74"/>
      <c r="V157" s="74"/>
      <c r="W157" s="74"/>
    </row>
    <row r="158" spans="1:23" x14ac:dyDescent="0.25">
      <c r="A158" s="73" t="str">
        <f t="shared" si="198"/>
        <v>FWVUP</v>
      </c>
      <c r="B158" s="113" t="str">
        <f t="shared" si="199"/>
        <v>00</v>
      </c>
      <c r="C158" s="113" t="str">
        <f t="shared" si="200"/>
        <v>01</v>
      </c>
      <c r="D158" s="114">
        <f t="shared" si="201"/>
        <v>1900</v>
      </c>
      <c r="E158" s="114"/>
      <c r="F158" s="73" t="str">
        <f t="shared" si="197"/>
        <v>FWVUP000100</v>
      </c>
      <c r="M158" s="74"/>
      <c r="N158" s="74"/>
      <c r="O158" s="74"/>
      <c r="P158" s="74"/>
      <c r="Q158" s="74"/>
      <c r="R158" s="74"/>
      <c r="T158" s="74"/>
      <c r="U158" s="74"/>
      <c r="V158" s="74"/>
      <c r="W158" s="74"/>
    </row>
    <row r="159" spans="1:23" x14ac:dyDescent="0.25">
      <c r="A159" s="73" t="str">
        <f t="shared" si="198"/>
        <v>FWVUP</v>
      </c>
      <c r="B159" s="113" t="str">
        <f t="shared" si="199"/>
        <v>00</v>
      </c>
      <c r="C159" s="113" t="str">
        <f t="shared" si="200"/>
        <v>01</v>
      </c>
      <c r="D159" s="114">
        <f t="shared" si="201"/>
        <v>1900</v>
      </c>
      <c r="E159" s="114"/>
      <c r="F159" s="73" t="str">
        <f t="shared" si="197"/>
        <v>FWVUP000100</v>
      </c>
      <c r="M159" s="74"/>
      <c r="N159" s="74"/>
      <c r="O159" s="74"/>
      <c r="P159" s="74"/>
      <c r="Q159" s="74"/>
      <c r="R159" s="74"/>
      <c r="T159" s="74"/>
      <c r="U159" s="74"/>
      <c r="V159" s="74"/>
      <c r="W159" s="74"/>
    </row>
    <row r="160" spans="1:23" x14ac:dyDescent="0.25">
      <c r="A160" s="73" t="str">
        <f t="shared" si="198"/>
        <v>FWVUP</v>
      </c>
      <c r="B160" s="113" t="str">
        <f t="shared" si="199"/>
        <v>00</v>
      </c>
      <c r="C160" s="113" t="str">
        <f t="shared" si="200"/>
        <v>01</v>
      </c>
      <c r="D160" s="114">
        <f t="shared" si="201"/>
        <v>1900</v>
      </c>
      <c r="E160" s="114"/>
      <c r="F160" s="73" t="str">
        <f t="shared" si="197"/>
        <v>FWVUP000100</v>
      </c>
      <c r="M160" s="74"/>
      <c r="N160" s="74"/>
      <c r="O160" s="74"/>
      <c r="P160" s="74"/>
      <c r="Q160" s="74"/>
      <c r="R160" s="74"/>
      <c r="T160" s="74"/>
      <c r="U160" s="74"/>
      <c r="V160" s="74"/>
      <c r="W160" s="74"/>
    </row>
    <row r="161" spans="1:23" x14ac:dyDescent="0.25">
      <c r="A161" s="73" t="str">
        <f t="shared" si="198"/>
        <v>FWVUP</v>
      </c>
      <c r="B161" s="113" t="str">
        <f t="shared" si="199"/>
        <v>00</v>
      </c>
      <c r="C161" s="113" t="str">
        <f t="shared" si="200"/>
        <v>01</v>
      </c>
      <c r="D161" s="114">
        <f t="shared" si="201"/>
        <v>1900</v>
      </c>
      <c r="E161" s="114"/>
      <c r="F161" s="73" t="str">
        <f t="shared" si="197"/>
        <v>FWVUP000100</v>
      </c>
      <c r="M161" s="74"/>
      <c r="N161" s="74"/>
      <c r="O161" s="74"/>
      <c r="P161" s="74"/>
      <c r="Q161" s="74"/>
      <c r="R161" s="74"/>
      <c r="T161" s="74"/>
      <c r="U161" s="74"/>
      <c r="V161" s="74"/>
      <c r="W161" s="74"/>
    </row>
    <row r="162" spans="1:23" x14ac:dyDescent="0.25">
      <c r="A162" s="73" t="str">
        <f t="shared" si="198"/>
        <v>FWVUP</v>
      </c>
      <c r="B162" s="113" t="str">
        <f t="shared" si="199"/>
        <v>00</v>
      </c>
      <c r="C162" s="113" t="str">
        <f t="shared" si="200"/>
        <v>01</v>
      </c>
      <c r="D162" s="114">
        <f t="shared" si="201"/>
        <v>1900</v>
      </c>
      <c r="E162" s="114"/>
      <c r="F162" s="73" t="str">
        <f t="shared" si="197"/>
        <v>FWVUP000100</v>
      </c>
      <c r="M162" s="74"/>
      <c r="N162" s="74"/>
      <c r="O162" s="74"/>
      <c r="P162" s="74"/>
      <c r="Q162" s="74"/>
      <c r="R162" s="74"/>
      <c r="T162" s="74"/>
      <c r="U162" s="74"/>
      <c r="V162" s="74"/>
      <c r="W162" s="74"/>
    </row>
    <row r="163" spans="1:23" x14ac:dyDescent="0.25">
      <c r="A163" s="73" t="str">
        <f t="shared" si="198"/>
        <v>FWVUP</v>
      </c>
      <c r="B163" s="113" t="str">
        <f t="shared" si="199"/>
        <v>00</v>
      </c>
      <c r="C163" s="113" t="str">
        <f t="shared" si="200"/>
        <v>01</v>
      </c>
      <c r="D163" s="114">
        <f t="shared" si="201"/>
        <v>1900</v>
      </c>
      <c r="E163" s="114"/>
      <c r="F163" s="73" t="str">
        <f t="shared" si="197"/>
        <v>FWVUP000100</v>
      </c>
      <c r="M163" s="74"/>
      <c r="N163" s="74"/>
      <c r="O163" s="74"/>
      <c r="P163" s="74"/>
      <c r="Q163" s="74"/>
      <c r="R163" s="74"/>
      <c r="T163" s="74"/>
      <c r="U163" s="74"/>
      <c r="V163" s="74"/>
      <c r="W163" s="74"/>
    </row>
    <row r="164" spans="1:23" x14ac:dyDescent="0.25">
      <c r="A164" s="73" t="str">
        <f t="shared" si="198"/>
        <v>FWVUP</v>
      </c>
      <c r="B164" s="113" t="str">
        <f t="shared" si="199"/>
        <v>00</v>
      </c>
      <c r="C164" s="113" t="str">
        <f t="shared" si="200"/>
        <v>01</v>
      </c>
      <c r="D164" s="114">
        <f t="shared" si="201"/>
        <v>1900</v>
      </c>
      <c r="E164" s="114"/>
      <c r="F164" s="73" t="str">
        <f t="shared" si="197"/>
        <v>FWVUP000100</v>
      </c>
      <c r="M164" s="74"/>
      <c r="N164" s="74"/>
      <c r="O164" s="74"/>
      <c r="P164" s="74"/>
      <c r="Q164" s="74"/>
      <c r="R164" s="74"/>
      <c r="T164" s="74"/>
      <c r="U164" s="74"/>
      <c r="V164" s="74"/>
      <c r="W164" s="74"/>
    </row>
    <row r="165" spans="1:23" x14ac:dyDescent="0.25">
      <c r="A165" s="73" t="str">
        <f t="shared" si="198"/>
        <v>FWVUP</v>
      </c>
      <c r="B165" s="113" t="str">
        <f t="shared" si="199"/>
        <v>00</v>
      </c>
      <c r="C165" s="113" t="str">
        <f t="shared" si="200"/>
        <v>01</v>
      </c>
      <c r="D165" s="114">
        <f t="shared" si="201"/>
        <v>1900</v>
      </c>
      <c r="E165" s="114"/>
      <c r="F165" s="73" t="str">
        <f t="shared" si="197"/>
        <v>FWVUP000100</v>
      </c>
      <c r="M165" s="74"/>
      <c r="N165" s="74"/>
      <c r="O165" s="74"/>
      <c r="P165" s="74"/>
      <c r="Q165" s="74"/>
      <c r="R165" s="74"/>
      <c r="T165" s="74"/>
      <c r="U165" s="74"/>
      <c r="V165" s="74"/>
      <c r="W165" s="74"/>
    </row>
    <row r="166" spans="1:23" x14ac:dyDescent="0.25">
      <c r="A166" s="73" t="str">
        <f t="shared" si="198"/>
        <v>FWVUP</v>
      </c>
      <c r="B166" s="113" t="str">
        <f t="shared" si="199"/>
        <v>00</v>
      </c>
      <c r="C166" s="113" t="str">
        <f t="shared" si="200"/>
        <v>01</v>
      </c>
      <c r="D166" s="114">
        <f t="shared" si="201"/>
        <v>1900</v>
      </c>
      <c r="E166" s="114"/>
      <c r="F166" s="73" t="str">
        <f t="shared" si="197"/>
        <v>FWVUP000100</v>
      </c>
      <c r="M166" s="74"/>
      <c r="N166" s="74"/>
      <c r="O166" s="74"/>
      <c r="P166" s="74"/>
      <c r="Q166" s="74"/>
      <c r="R166" s="74"/>
      <c r="T166" s="74"/>
      <c r="U166" s="74"/>
      <c r="V166" s="74"/>
      <c r="W166" s="74"/>
    </row>
    <row r="167" spans="1:23" x14ac:dyDescent="0.25">
      <c r="A167" s="73" t="str">
        <f t="shared" si="198"/>
        <v>FWVUP</v>
      </c>
      <c r="B167" s="113" t="str">
        <f t="shared" si="199"/>
        <v>00</v>
      </c>
      <c r="C167" s="113" t="str">
        <f t="shared" si="200"/>
        <v>01</v>
      </c>
      <c r="D167" s="114">
        <f t="shared" si="201"/>
        <v>1900</v>
      </c>
      <c r="E167" s="114"/>
      <c r="F167" s="73" t="str">
        <f t="shared" si="197"/>
        <v>FWVUP000100</v>
      </c>
      <c r="M167" s="74"/>
      <c r="N167" s="74"/>
      <c r="O167" s="74"/>
      <c r="P167" s="74"/>
      <c r="Q167" s="74"/>
      <c r="R167" s="74"/>
      <c r="T167" s="74"/>
      <c r="U167" s="74"/>
      <c r="V167" s="74"/>
      <c r="W167" s="74"/>
    </row>
    <row r="168" spans="1:23" x14ac:dyDescent="0.25">
      <c r="A168" s="73" t="str">
        <f t="shared" si="198"/>
        <v>FWVUP</v>
      </c>
      <c r="B168" s="113" t="str">
        <f t="shared" si="199"/>
        <v>00</v>
      </c>
      <c r="C168" s="113" t="str">
        <f t="shared" si="200"/>
        <v>01</v>
      </c>
      <c r="D168" s="114">
        <f t="shared" si="201"/>
        <v>1900</v>
      </c>
      <c r="E168" s="114"/>
      <c r="F168" s="73" t="str">
        <f t="shared" si="197"/>
        <v>FWVUP000100</v>
      </c>
      <c r="M168" s="74"/>
      <c r="N168" s="74"/>
      <c r="O168" s="74"/>
      <c r="P168" s="74"/>
      <c r="Q168" s="74"/>
      <c r="R168" s="74"/>
      <c r="T168" s="74"/>
      <c r="U168" s="74"/>
      <c r="V168" s="74"/>
      <c r="W168" s="74"/>
    </row>
    <row r="169" spans="1:23" x14ac:dyDescent="0.25">
      <c r="A169" s="73" t="str">
        <f t="shared" si="198"/>
        <v>FWVUP</v>
      </c>
      <c r="B169" s="113" t="str">
        <f t="shared" si="199"/>
        <v>00</v>
      </c>
      <c r="C169" s="113" t="str">
        <f t="shared" si="200"/>
        <v>01</v>
      </c>
      <c r="D169" s="114">
        <f t="shared" si="201"/>
        <v>1900</v>
      </c>
      <c r="E169" s="114"/>
      <c r="F169" s="73" t="str">
        <f t="shared" si="197"/>
        <v>FWVUP000100</v>
      </c>
      <c r="M169" s="74"/>
      <c r="N169" s="74"/>
      <c r="O169" s="74"/>
      <c r="P169" s="74"/>
      <c r="Q169" s="74"/>
      <c r="R169" s="74"/>
      <c r="T169" s="74"/>
      <c r="U169" s="74"/>
      <c r="V169" s="74"/>
      <c r="W169" s="74"/>
    </row>
    <row r="170" spans="1:23" x14ac:dyDescent="0.25">
      <c r="A170" s="73" t="str">
        <f t="shared" si="198"/>
        <v>FWVUP</v>
      </c>
      <c r="B170" s="113" t="str">
        <f t="shared" si="199"/>
        <v>00</v>
      </c>
      <c r="C170" s="113" t="str">
        <f t="shared" si="200"/>
        <v>01</v>
      </c>
      <c r="D170" s="114">
        <f t="shared" si="201"/>
        <v>1900</v>
      </c>
      <c r="E170" s="114"/>
      <c r="F170" s="73" t="str">
        <f t="shared" si="197"/>
        <v>FWVUP000100</v>
      </c>
      <c r="M170" s="74"/>
      <c r="N170" s="74"/>
      <c r="O170" s="74"/>
      <c r="P170" s="74"/>
      <c r="Q170" s="74"/>
      <c r="R170" s="74"/>
      <c r="T170" s="74"/>
      <c r="U170" s="74"/>
      <c r="V170" s="74"/>
      <c r="W170" s="74"/>
    </row>
    <row r="171" spans="1:23" x14ac:dyDescent="0.25">
      <c r="A171" s="73" t="str">
        <f t="shared" si="198"/>
        <v>FWVUP</v>
      </c>
      <c r="B171" s="113" t="str">
        <f t="shared" si="199"/>
        <v>00</v>
      </c>
      <c r="C171" s="113" t="str">
        <f t="shared" si="200"/>
        <v>01</v>
      </c>
      <c r="D171" s="114">
        <f t="shared" si="201"/>
        <v>1900</v>
      </c>
      <c r="E171" s="114"/>
      <c r="F171" s="73" t="str">
        <f t="shared" si="197"/>
        <v>FWVUP000100</v>
      </c>
      <c r="M171" s="74"/>
      <c r="N171" s="74"/>
      <c r="O171" s="74"/>
      <c r="P171" s="74"/>
      <c r="Q171" s="74"/>
      <c r="R171" s="74"/>
      <c r="T171" s="74"/>
      <c r="U171" s="74"/>
      <c r="V171" s="74"/>
      <c r="W171" s="74"/>
    </row>
    <row r="172" spans="1:23" x14ac:dyDescent="0.25">
      <c r="A172" s="73" t="str">
        <f t="shared" si="198"/>
        <v>FWVUP</v>
      </c>
      <c r="B172" s="113" t="str">
        <f t="shared" si="199"/>
        <v>00</v>
      </c>
      <c r="C172" s="113" t="str">
        <f t="shared" si="200"/>
        <v>01</v>
      </c>
      <c r="D172" s="114">
        <f t="shared" si="201"/>
        <v>1900</v>
      </c>
      <c r="E172" s="114"/>
      <c r="F172" s="73" t="str">
        <f t="shared" ref="F172:F203" si="202">CONCATENATE(A171,B171,C171,RIGHT(D171,2))</f>
        <v>FWVUP000100</v>
      </c>
      <c r="M172" s="74"/>
      <c r="N172" s="74"/>
      <c r="O172" s="74"/>
      <c r="P172" s="74"/>
      <c r="Q172" s="74"/>
      <c r="R172" s="74"/>
      <c r="T172" s="74"/>
      <c r="U172" s="74"/>
      <c r="V172" s="74"/>
      <c r="W172" s="74"/>
    </row>
    <row r="173" spans="1:23" x14ac:dyDescent="0.25">
      <c r="A173" s="73" t="str">
        <f t="shared" si="198"/>
        <v>FWVUP</v>
      </c>
      <c r="B173" s="113" t="str">
        <f t="shared" si="199"/>
        <v>00</v>
      </c>
      <c r="C173" s="113" t="str">
        <f t="shared" si="200"/>
        <v>01</v>
      </c>
      <c r="D173" s="114">
        <f t="shared" si="201"/>
        <v>1900</v>
      </c>
      <c r="E173" s="114"/>
      <c r="F173" s="73" t="str">
        <f t="shared" si="202"/>
        <v>FWVUP000100</v>
      </c>
      <c r="M173" s="74"/>
      <c r="N173" s="74"/>
      <c r="O173" s="74"/>
      <c r="P173" s="74"/>
      <c r="Q173" s="74"/>
      <c r="R173" s="74"/>
      <c r="T173" s="74"/>
      <c r="U173" s="74"/>
      <c r="V173" s="74"/>
      <c r="W173" s="74"/>
    </row>
    <row r="174" spans="1:23" x14ac:dyDescent="0.25">
      <c r="A174" s="73" t="str">
        <f t="shared" si="198"/>
        <v>FWVUP</v>
      </c>
      <c r="B174" s="113" t="str">
        <f t="shared" si="199"/>
        <v>00</v>
      </c>
      <c r="C174" s="113" t="str">
        <f t="shared" si="200"/>
        <v>01</v>
      </c>
      <c r="D174" s="114">
        <f t="shared" si="201"/>
        <v>1900</v>
      </c>
      <c r="E174" s="114"/>
      <c r="F174" s="73" t="str">
        <f t="shared" si="202"/>
        <v>FWVUP000100</v>
      </c>
      <c r="M174" s="74"/>
      <c r="N174" s="74"/>
      <c r="O174" s="74"/>
      <c r="P174" s="74"/>
      <c r="Q174" s="74"/>
      <c r="R174" s="74"/>
      <c r="T174" s="74"/>
      <c r="U174" s="74"/>
      <c r="V174" s="74"/>
      <c r="W174" s="74"/>
    </row>
    <row r="175" spans="1:23" x14ac:dyDescent="0.25">
      <c r="A175" s="73" t="str">
        <f t="shared" si="198"/>
        <v>FWVUP</v>
      </c>
      <c r="B175" s="113" t="str">
        <f t="shared" si="199"/>
        <v>00</v>
      </c>
      <c r="C175" s="113" t="str">
        <f t="shared" si="200"/>
        <v>01</v>
      </c>
      <c r="D175" s="114">
        <f t="shared" si="201"/>
        <v>1900</v>
      </c>
      <c r="E175" s="114"/>
      <c r="F175" s="73" t="str">
        <f t="shared" si="202"/>
        <v>FWVUP000100</v>
      </c>
      <c r="M175" s="74"/>
      <c r="N175" s="74"/>
      <c r="O175" s="74"/>
      <c r="P175" s="74"/>
      <c r="Q175" s="74"/>
      <c r="R175" s="74"/>
      <c r="T175" s="74"/>
      <c r="U175" s="74"/>
      <c r="V175" s="74"/>
      <c r="W175" s="74"/>
    </row>
    <row r="176" spans="1:23" x14ac:dyDescent="0.25">
      <c r="A176" s="73" t="str">
        <f t="shared" si="198"/>
        <v>FWVUP</v>
      </c>
      <c r="B176" s="113" t="str">
        <f t="shared" si="199"/>
        <v>00</v>
      </c>
      <c r="C176" s="113" t="str">
        <f t="shared" si="200"/>
        <v>01</v>
      </c>
      <c r="D176" s="114">
        <f t="shared" si="201"/>
        <v>1900</v>
      </c>
      <c r="E176" s="114"/>
      <c r="F176" s="73" t="str">
        <f t="shared" si="202"/>
        <v>FWVUP000100</v>
      </c>
      <c r="M176" s="74"/>
      <c r="N176" s="74"/>
      <c r="O176" s="74"/>
      <c r="P176" s="74"/>
      <c r="Q176" s="74"/>
      <c r="R176" s="74"/>
      <c r="T176" s="74"/>
      <c r="U176" s="74"/>
      <c r="V176" s="74"/>
      <c r="W176" s="74"/>
    </row>
    <row r="177" spans="1:23" x14ac:dyDescent="0.25">
      <c r="A177" s="73" t="str">
        <f t="shared" si="198"/>
        <v>FWVUP</v>
      </c>
      <c r="B177" s="113" t="str">
        <f t="shared" si="199"/>
        <v>00</v>
      </c>
      <c r="C177" s="113" t="str">
        <f t="shared" si="200"/>
        <v>01</v>
      </c>
      <c r="D177" s="114">
        <f t="shared" si="201"/>
        <v>1900</v>
      </c>
      <c r="E177" s="114"/>
      <c r="F177" s="73" t="str">
        <f t="shared" si="202"/>
        <v>FWVUP000100</v>
      </c>
      <c r="M177" s="74"/>
      <c r="N177" s="74"/>
      <c r="O177" s="74"/>
      <c r="P177" s="74"/>
      <c r="Q177" s="74"/>
      <c r="R177" s="74"/>
      <c r="T177" s="74"/>
      <c r="U177" s="74"/>
      <c r="V177" s="74"/>
      <c r="W177" s="74"/>
    </row>
    <row r="178" spans="1:23" x14ac:dyDescent="0.25">
      <c r="A178" s="73" t="str">
        <f t="shared" si="198"/>
        <v>FWVUP</v>
      </c>
      <c r="B178" s="113" t="str">
        <f t="shared" si="199"/>
        <v>00</v>
      </c>
      <c r="C178" s="113" t="str">
        <f t="shared" si="200"/>
        <v>01</v>
      </c>
      <c r="D178" s="114">
        <f t="shared" si="201"/>
        <v>1900</v>
      </c>
      <c r="E178" s="114"/>
      <c r="F178" s="73" t="str">
        <f t="shared" si="202"/>
        <v>FWVUP000100</v>
      </c>
      <c r="M178" s="74"/>
      <c r="N178" s="74"/>
      <c r="O178" s="74"/>
      <c r="P178" s="74"/>
      <c r="Q178" s="74"/>
      <c r="R178" s="74"/>
      <c r="T178" s="74"/>
      <c r="U178" s="74"/>
      <c r="V178" s="74"/>
      <c r="W178" s="74"/>
    </row>
    <row r="179" spans="1:23" x14ac:dyDescent="0.25">
      <c r="A179" s="73" t="str">
        <f t="shared" si="198"/>
        <v>FWVUP</v>
      </c>
      <c r="B179" s="113" t="str">
        <f t="shared" si="199"/>
        <v>00</v>
      </c>
      <c r="C179" s="113" t="str">
        <f t="shared" si="200"/>
        <v>01</v>
      </c>
      <c r="D179" s="114">
        <f t="shared" si="201"/>
        <v>1900</v>
      </c>
      <c r="E179" s="114"/>
      <c r="F179" s="73" t="str">
        <f t="shared" si="202"/>
        <v>FWVUP000100</v>
      </c>
      <c r="M179" s="74"/>
      <c r="N179" s="74"/>
      <c r="O179" s="74"/>
      <c r="P179" s="74"/>
      <c r="Q179" s="74"/>
      <c r="R179" s="74"/>
      <c r="T179" s="74"/>
      <c r="U179" s="74"/>
      <c r="V179" s="74"/>
      <c r="W179" s="74"/>
    </row>
    <row r="180" spans="1:23" x14ac:dyDescent="0.25">
      <c r="A180" s="73" t="str">
        <f t="shared" si="198"/>
        <v>FWVUP</v>
      </c>
      <c r="B180" s="113" t="str">
        <f t="shared" si="199"/>
        <v>00</v>
      </c>
      <c r="C180" s="113" t="str">
        <f t="shared" si="200"/>
        <v>01</v>
      </c>
      <c r="D180" s="114">
        <f t="shared" si="201"/>
        <v>1900</v>
      </c>
      <c r="E180" s="114"/>
      <c r="F180" s="73" t="str">
        <f t="shared" si="202"/>
        <v>FWVUP000100</v>
      </c>
      <c r="M180" s="74"/>
      <c r="N180" s="74"/>
      <c r="O180" s="74"/>
      <c r="P180" s="74"/>
      <c r="Q180" s="74"/>
      <c r="R180" s="74"/>
      <c r="T180" s="74"/>
      <c r="U180" s="74"/>
      <c r="V180" s="74"/>
      <c r="W180" s="74"/>
    </row>
    <row r="181" spans="1:23" x14ac:dyDescent="0.25">
      <c r="A181" s="73" t="str">
        <f t="shared" si="198"/>
        <v>FWVUP</v>
      </c>
      <c r="B181" s="113" t="str">
        <f t="shared" si="199"/>
        <v>00</v>
      </c>
      <c r="C181" s="113" t="str">
        <f t="shared" si="200"/>
        <v>01</v>
      </c>
      <c r="D181" s="114">
        <f t="shared" si="201"/>
        <v>1900</v>
      </c>
      <c r="E181" s="114"/>
      <c r="F181" s="73" t="str">
        <f t="shared" si="202"/>
        <v>FWVUP000100</v>
      </c>
      <c r="M181" s="74"/>
      <c r="N181" s="74"/>
      <c r="O181" s="74"/>
      <c r="P181" s="74"/>
      <c r="Q181" s="74"/>
      <c r="R181" s="74"/>
      <c r="T181" s="74"/>
      <c r="U181" s="74"/>
      <c r="V181" s="74"/>
      <c r="W181" s="74"/>
    </row>
    <row r="182" spans="1:23" x14ac:dyDescent="0.25">
      <c r="A182" s="73" t="str">
        <f t="shared" si="198"/>
        <v>FWVUP</v>
      </c>
      <c r="B182" s="113" t="str">
        <f t="shared" si="199"/>
        <v>00</v>
      </c>
      <c r="C182" s="113" t="str">
        <f t="shared" si="200"/>
        <v>01</v>
      </c>
      <c r="D182" s="114">
        <f t="shared" si="201"/>
        <v>1900</v>
      </c>
      <c r="E182" s="114"/>
      <c r="F182" s="73" t="str">
        <f t="shared" si="202"/>
        <v>FWVUP000100</v>
      </c>
      <c r="M182" s="74"/>
      <c r="N182" s="74"/>
      <c r="O182" s="74"/>
      <c r="P182" s="74"/>
      <c r="Q182" s="74"/>
      <c r="R182" s="74"/>
      <c r="T182" s="74"/>
      <c r="U182" s="74"/>
      <c r="V182" s="74"/>
      <c r="W182" s="74"/>
    </row>
    <row r="183" spans="1:23" x14ac:dyDescent="0.25">
      <c r="A183" s="73" t="str">
        <f t="shared" si="198"/>
        <v>FWVUP</v>
      </c>
      <c r="B183" s="113" t="str">
        <f t="shared" si="199"/>
        <v>00</v>
      </c>
      <c r="C183" s="113" t="str">
        <f t="shared" si="200"/>
        <v>01</v>
      </c>
      <c r="D183" s="114">
        <f t="shared" si="201"/>
        <v>1900</v>
      </c>
      <c r="E183" s="114"/>
      <c r="F183" s="73" t="str">
        <f t="shared" si="202"/>
        <v>FWVUP000100</v>
      </c>
      <c r="M183" s="74"/>
      <c r="N183" s="74"/>
      <c r="O183" s="74"/>
      <c r="P183" s="74"/>
      <c r="Q183" s="74"/>
      <c r="R183" s="74"/>
      <c r="T183" s="74"/>
      <c r="U183" s="74"/>
      <c r="V183" s="74"/>
      <c r="W183" s="74"/>
    </row>
    <row r="184" spans="1:23" x14ac:dyDescent="0.25">
      <c r="A184" s="73" t="str">
        <f t="shared" si="198"/>
        <v>FWVUP</v>
      </c>
      <c r="B184" s="113" t="str">
        <f t="shared" si="199"/>
        <v>00</v>
      </c>
      <c r="C184" s="113" t="str">
        <f t="shared" si="200"/>
        <v>01</v>
      </c>
      <c r="D184" s="114">
        <f t="shared" si="201"/>
        <v>1900</v>
      </c>
      <c r="E184" s="114"/>
      <c r="F184" s="73" t="str">
        <f t="shared" si="202"/>
        <v>FWVUP000100</v>
      </c>
      <c r="M184" s="74"/>
      <c r="N184" s="74"/>
      <c r="O184" s="74"/>
      <c r="P184" s="74"/>
      <c r="Q184" s="74"/>
      <c r="R184" s="74"/>
      <c r="T184" s="74"/>
      <c r="U184" s="74"/>
      <c r="V184" s="74"/>
      <c r="W184" s="74"/>
    </row>
    <row r="185" spans="1:23" x14ac:dyDescent="0.25">
      <c r="A185" s="73" t="str">
        <f t="shared" si="198"/>
        <v>FWVUP</v>
      </c>
      <c r="B185" s="113" t="str">
        <f t="shared" si="199"/>
        <v>00</v>
      </c>
      <c r="C185" s="113" t="str">
        <f t="shared" si="200"/>
        <v>01</v>
      </c>
      <c r="D185" s="114">
        <f t="shared" si="201"/>
        <v>1900</v>
      </c>
      <c r="E185" s="114"/>
      <c r="F185" s="73" t="str">
        <f t="shared" si="202"/>
        <v>FWVUP000100</v>
      </c>
      <c r="M185" s="74"/>
      <c r="N185" s="74"/>
      <c r="O185" s="74"/>
      <c r="P185" s="74"/>
      <c r="Q185" s="74"/>
      <c r="R185" s="74"/>
      <c r="T185" s="74"/>
      <c r="U185" s="74"/>
      <c r="V185" s="74"/>
      <c r="W185" s="74"/>
    </row>
    <row r="186" spans="1:23" x14ac:dyDescent="0.25">
      <c r="A186" s="73" t="str">
        <f t="shared" si="198"/>
        <v>FWVUP</v>
      </c>
      <c r="B186" s="113" t="str">
        <f t="shared" si="199"/>
        <v>00</v>
      </c>
      <c r="C186" s="113" t="str">
        <f t="shared" si="200"/>
        <v>01</v>
      </c>
      <c r="D186" s="114">
        <f t="shared" si="201"/>
        <v>1900</v>
      </c>
      <c r="E186" s="114"/>
      <c r="F186" s="73" t="str">
        <f t="shared" si="202"/>
        <v>FWVUP000100</v>
      </c>
      <c r="M186" s="74"/>
      <c r="N186" s="74"/>
      <c r="O186" s="74"/>
      <c r="P186" s="74"/>
      <c r="Q186" s="74"/>
      <c r="R186" s="74"/>
      <c r="T186" s="74"/>
      <c r="U186" s="74"/>
      <c r="V186" s="74"/>
      <c r="W186" s="74"/>
    </row>
    <row r="187" spans="1:23" x14ac:dyDescent="0.25">
      <c r="A187" s="73" t="str">
        <f t="shared" si="198"/>
        <v>FWVUP</v>
      </c>
      <c r="B187" s="113" t="str">
        <f t="shared" si="199"/>
        <v>00</v>
      </c>
      <c r="C187" s="113" t="str">
        <f t="shared" si="200"/>
        <v>01</v>
      </c>
      <c r="D187" s="114">
        <f t="shared" si="201"/>
        <v>1900</v>
      </c>
      <c r="E187" s="114"/>
      <c r="F187" s="73" t="str">
        <f t="shared" si="202"/>
        <v>FWVUP000100</v>
      </c>
      <c r="M187" s="74"/>
      <c r="N187" s="74"/>
      <c r="O187" s="74"/>
      <c r="P187" s="74"/>
      <c r="Q187" s="74"/>
      <c r="R187" s="74"/>
      <c r="T187" s="74"/>
      <c r="U187" s="74"/>
      <c r="V187" s="74"/>
      <c r="W187" s="74"/>
    </row>
    <row r="188" spans="1:23" x14ac:dyDescent="0.25">
      <c r="A188" s="73" t="str">
        <f t="shared" si="198"/>
        <v>FWVUP</v>
      </c>
      <c r="B188" s="113" t="str">
        <f t="shared" si="199"/>
        <v>00</v>
      </c>
      <c r="C188" s="113" t="str">
        <f t="shared" si="200"/>
        <v>01</v>
      </c>
      <c r="D188" s="114">
        <f t="shared" si="201"/>
        <v>1900</v>
      </c>
      <c r="E188" s="114"/>
      <c r="F188" s="73" t="str">
        <f t="shared" si="202"/>
        <v>FWVUP000100</v>
      </c>
      <c r="M188" s="74"/>
      <c r="N188" s="74"/>
      <c r="O188" s="74"/>
      <c r="P188" s="74"/>
      <c r="Q188" s="74"/>
      <c r="R188" s="74"/>
      <c r="T188" s="74"/>
      <c r="U188" s="74"/>
      <c r="V188" s="74"/>
      <c r="W188" s="74"/>
    </row>
    <row r="189" spans="1:23" x14ac:dyDescent="0.25">
      <c r="A189" s="73" t="str">
        <f t="shared" si="198"/>
        <v>FWVUP</v>
      </c>
      <c r="B189" s="113" t="str">
        <f t="shared" si="199"/>
        <v>00</v>
      </c>
      <c r="C189" s="113" t="str">
        <f t="shared" si="200"/>
        <v>01</v>
      </c>
      <c r="D189" s="114">
        <f t="shared" si="201"/>
        <v>1900</v>
      </c>
      <c r="E189" s="114"/>
      <c r="F189" s="73" t="str">
        <f t="shared" si="202"/>
        <v>FWVUP000100</v>
      </c>
      <c r="M189" s="74"/>
      <c r="N189" s="74"/>
      <c r="O189" s="74"/>
      <c r="P189" s="74"/>
      <c r="Q189" s="74"/>
      <c r="R189" s="74"/>
      <c r="T189" s="74"/>
      <c r="U189" s="74"/>
      <c r="V189" s="74"/>
      <c r="W189" s="74"/>
    </row>
    <row r="190" spans="1:23" x14ac:dyDescent="0.25">
      <c r="A190" s="73" t="str">
        <f t="shared" si="198"/>
        <v>FWVUP</v>
      </c>
      <c r="B190" s="113" t="str">
        <f t="shared" si="199"/>
        <v>00</v>
      </c>
      <c r="C190" s="113" t="str">
        <f t="shared" si="200"/>
        <v>01</v>
      </c>
      <c r="D190" s="114">
        <f t="shared" si="201"/>
        <v>1900</v>
      </c>
      <c r="E190" s="114"/>
      <c r="F190" s="73" t="str">
        <f t="shared" si="202"/>
        <v>FWVUP000100</v>
      </c>
      <c r="M190" s="74"/>
      <c r="N190" s="74"/>
      <c r="O190" s="74"/>
      <c r="P190" s="74"/>
      <c r="Q190" s="74"/>
      <c r="R190" s="74"/>
      <c r="T190" s="74"/>
      <c r="U190" s="74"/>
      <c r="V190" s="74"/>
      <c r="W190" s="74"/>
    </row>
    <row r="191" spans="1:23" x14ac:dyDescent="0.25">
      <c r="A191" s="73" t="str">
        <f t="shared" si="198"/>
        <v>FWVUP</v>
      </c>
      <c r="B191" s="113" t="str">
        <f t="shared" si="199"/>
        <v>00</v>
      </c>
      <c r="C191" s="113" t="str">
        <f t="shared" si="200"/>
        <v>01</v>
      </c>
      <c r="D191" s="114">
        <f t="shared" si="201"/>
        <v>1900</v>
      </c>
      <c r="E191" s="114"/>
      <c r="F191" s="73" t="str">
        <f t="shared" si="202"/>
        <v>FWVUP000100</v>
      </c>
      <c r="M191" s="74"/>
      <c r="N191" s="74"/>
      <c r="O191" s="74"/>
      <c r="P191" s="74"/>
      <c r="Q191" s="74"/>
      <c r="R191" s="74"/>
      <c r="T191" s="74"/>
      <c r="U191" s="74"/>
      <c r="V191" s="74"/>
      <c r="W191" s="74"/>
    </row>
    <row r="192" spans="1:23" x14ac:dyDescent="0.25">
      <c r="A192" s="73" t="str">
        <f t="shared" si="198"/>
        <v>FWVUP</v>
      </c>
      <c r="B192" s="113" t="str">
        <f t="shared" si="199"/>
        <v>00</v>
      </c>
      <c r="C192" s="113" t="str">
        <f t="shared" si="200"/>
        <v>01</v>
      </c>
      <c r="D192" s="114">
        <f t="shared" si="201"/>
        <v>1900</v>
      </c>
      <c r="E192" s="114"/>
      <c r="F192" s="73" t="str">
        <f t="shared" si="202"/>
        <v>FWVUP000100</v>
      </c>
      <c r="M192" s="74"/>
      <c r="N192" s="74"/>
      <c r="O192" s="74"/>
      <c r="P192" s="74"/>
      <c r="Q192" s="74"/>
      <c r="R192" s="74"/>
      <c r="T192" s="74"/>
      <c r="U192" s="74"/>
      <c r="V192" s="74"/>
      <c r="W192" s="74"/>
    </row>
    <row r="193" spans="1:23" x14ac:dyDescent="0.25">
      <c r="A193" s="73" t="str">
        <f t="shared" si="198"/>
        <v>FWVUP</v>
      </c>
      <c r="B193" s="113" t="str">
        <f t="shared" si="199"/>
        <v>00</v>
      </c>
      <c r="C193" s="113" t="str">
        <f t="shared" si="200"/>
        <v>01</v>
      </c>
      <c r="D193" s="114">
        <f t="shared" si="201"/>
        <v>1900</v>
      </c>
      <c r="E193" s="114"/>
      <c r="F193" s="73" t="str">
        <f t="shared" si="202"/>
        <v>FWVUP000100</v>
      </c>
      <c r="M193" s="74"/>
      <c r="N193" s="74"/>
      <c r="O193" s="74"/>
      <c r="P193" s="74"/>
      <c r="Q193" s="74"/>
      <c r="R193" s="74"/>
      <c r="T193" s="74"/>
      <c r="U193" s="74"/>
      <c r="V193" s="74"/>
      <c r="W193" s="74"/>
    </row>
    <row r="194" spans="1:23" x14ac:dyDescent="0.25">
      <c r="A194" s="73" t="str">
        <f t="shared" si="198"/>
        <v>FWVUP</v>
      </c>
      <c r="B194" s="113" t="str">
        <f t="shared" si="199"/>
        <v>00</v>
      </c>
      <c r="C194" s="113" t="str">
        <f t="shared" si="200"/>
        <v>01</v>
      </c>
      <c r="D194" s="114">
        <f t="shared" si="201"/>
        <v>1900</v>
      </c>
      <c r="E194" s="114"/>
      <c r="F194" s="73" t="str">
        <f t="shared" si="202"/>
        <v>FWVUP000100</v>
      </c>
      <c r="M194" s="74"/>
      <c r="N194" s="74"/>
      <c r="O194" s="74"/>
      <c r="P194" s="74"/>
      <c r="Q194" s="74"/>
      <c r="R194" s="74"/>
      <c r="T194" s="74"/>
      <c r="U194" s="74"/>
      <c r="V194" s="74"/>
      <c r="W194" s="74"/>
    </row>
    <row r="195" spans="1:23" x14ac:dyDescent="0.25">
      <c r="A195" s="73" t="str">
        <f t="shared" si="198"/>
        <v>FWVUP</v>
      </c>
      <c r="B195" s="113" t="str">
        <f t="shared" si="199"/>
        <v>00</v>
      </c>
      <c r="C195" s="113" t="str">
        <f t="shared" si="200"/>
        <v>01</v>
      </c>
      <c r="D195" s="114">
        <f t="shared" si="201"/>
        <v>1900</v>
      </c>
      <c r="E195" s="114"/>
      <c r="F195" s="73" t="str">
        <f t="shared" si="202"/>
        <v>FWVUP000100</v>
      </c>
      <c r="M195" s="74"/>
      <c r="N195" s="74"/>
      <c r="O195" s="74"/>
      <c r="P195" s="74"/>
      <c r="Q195" s="74"/>
      <c r="R195" s="74"/>
      <c r="T195" s="74"/>
      <c r="U195" s="74"/>
      <c r="V195" s="74"/>
      <c r="W195" s="74"/>
    </row>
    <row r="196" spans="1:23" x14ac:dyDescent="0.25">
      <c r="A196" s="73" t="str">
        <f t="shared" si="198"/>
        <v>FWVUP</v>
      </c>
      <c r="B196" s="113" t="str">
        <f t="shared" si="199"/>
        <v>00</v>
      </c>
      <c r="C196" s="113" t="str">
        <f t="shared" si="200"/>
        <v>01</v>
      </c>
      <c r="D196" s="114">
        <f t="shared" si="201"/>
        <v>1900</v>
      </c>
      <c r="E196" s="114"/>
      <c r="F196" s="73" t="str">
        <f t="shared" si="202"/>
        <v>FWVUP000100</v>
      </c>
      <c r="M196" s="74"/>
      <c r="N196" s="74"/>
      <c r="O196" s="74"/>
      <c r="P196" s="74"/>
      <c r="Q196" s="74"/>
      <c r="R196" s="74"/>
      <c r="T196" s="74"/>
      <c r="U196" s="74"/>
      <c r="V196" s="74"/>
      <c r="W196" s="74"/>
    </row>
    <row r="197" spans="1:23" x14ac:dyDescent="0.25">
      <c r="A197" s="73" t="str">
        <f t="shared" si="198"/>
        <v>FWVUP</v>
      </c>
      <c r="B197" s="113" t="str">
        <f t="shared" si="199"/>
        <v>00</v>
      </c>
      <c r="C197" s="113" t="str">
        <f t="shared" si="200"/>
        <v>01</v>
      </c>
      <c r="D197" s="114">
        <f t="shared" si="201"/>
        <v>1900</v>
      </c>
      <c r="E197" s="114"/>
      <c r="F197" s="73" t="str">
        <f t="shared" si="202"/>
        <v>FWVUP000100</v>
      </c>
      <c r="M197" s="74"/>
      <c r="N197" s="74"/>
      <c r="O197" s="74"/>
      <c r="P197" s="74"/>
      <c r="Q197" s="74"/>
      <c r="R197" s="74"/>
      <c r="T197" s="74"/>
      <c r="U197" s="74"/>
      <c r="V197" s="74"/>
      <c r="W197" s="74"/>
    </row>
    <row r="198" spans="1:23" x14ac:dyDescent="0.25">
      <c r="A198" s="73" t="str">
        <f t="shared" si="198"/>
        <v>FWVUP</v>
      </c>
      <c r="B198" s="113" t="str">
        <f t="shared" si="199"/>
        <v>00</v>
      </c>
      <c r="C198" s="113" t="str">
        <f t="shared" si="200"/>
        <v>01</v>
      </c>
      <c r="D198" s="114">
        <f t="shared" si="201"/>
        <v>1900</v>
      </c>
      <c r="E198" s="114"/>
      <c r="F198" s="73" t="str">
        <f t="shared" si="202"/>
        <v>FWVUP000100</v>
      </c>
      <c r="M198" s="74"/>
      <c r="N198" s="74"/>
      <c r="O198" s="74"/>
      <c r="P198" s="74"/>
      <c r="Q198" s="74"/>
      <c r="R198" s="74"/>
      <c r="T198" s="74"/>
      <c r="U198" s="74"/>
      <c r="V198" s="74"/>
      <c r="W198" s="74"/>
    </row>
    <row r="199" spans="1:23" x14ac:dyDescent="0.25">
      <c r="A199" s="73" t="str">
        <f t="shared" si="198"/>
        <v>FWVUP</v>
      </c>
      <c r="B199" s="113" t="str">
        <f t="shared" si="199"/>
        <v>00</v>
      </c>
      <c r="C199" s="113" t="str">
        <f t="shared" si="200"/>
        <v>01</v>
      </c>
      <c r="D199" s="114">
        <f t="shared" si="201"/>
        <v>1900</v>
      </c>
      <c r="E199" s="114"/>
      <c r="F199" s="73" t="str">
        <f t="shared" si="202"/>
        <v>FWVUP000100</v>
      </c>
      <c r="M199" s="74"/>
      <c r="N199" s="74"/>
      <c r="O199" s="74"/>
      <c r="P199" s="74"/>
      <c r="Q199" s="74"/>
      <c r="R199" s="74"/>
      <c r="T199" s="74"/>
      <c r="U199" s="74"/>
      <c r="V199" s="74"/>
      <c r="W199" s="74"/>
    </row>
    <row r="200" spans="1:23" x14ac:dyDescent="0.25">
      <c r="A200" s="73" t="str">
        <f t="shared" si="198"/>
        <v>FWVUP</v>
      </c>
      <c r="B200" s="113" t="str">
        <f t="shared" si="199"/>
        <v>00</v>
      </c>
      <c r="C200" s="113" t="str">
        <f t="shared" si="200"/>
        <v>01</v>
      </c>
      <c r="D200" s="114">
        <f t="shared" si="201"/>
        <v>1900</v>
      </c>
      <c r="E200" s="114"/>
      <c r="F200" s="73" t="str">
        <f t="shared" si="202"/>
        <v>FWVUP000100</v>
      </c>
      <c r="M200" s="74"/>
      <c r="N200" s="74"/>
      <c r="O200" s="74"/>
      <c r="P200" s="74"/>
      <c r="Q200" s="74"/>
      <c r="R200" s="74"/>
      <c r="T200" s="74"/>
      <c r="U200" s="74"/>
      <c r="V200" s="74"/>
      <c r="W200" s="74"/>
    </row>
    <row r="201" spans="1:23" x14ac:dyDescent="0.25">
      <c r="A201" s="73" t="str">
        <f t="shared" si="198"/>
        <v>FWVUP</v>
      </c>
      <c r="B201" s="113" t="str">
        <f t="shared" si="199"/>
        <v>00</v>
      </c>
      <c r="C201" s="113" t="str">
        <f t="shared" si="200"/>
        <v>01</v>
      </c>
      <c r="D201" s="114">
        <f t="shared" si="201"/>
        <v>1900</v>
      </c>
      <c r="E201" s="114"/>
      <c r="F201" s="73" t="str">
        <f t="shared" si="202"/>
        <v>FWVUP000100</v>
      </c>
      <c r="M201" s="74"/>
      <c r="N201" s="74"/>
      <c r="O201" s="74"/>
      <c r="P201" s="74"/>
      <c r="Q201" s="74"/>
      <c r="R201" s="74"/>
      <c r="T201" s="74"/>
      <c r="U201" s="74"/>
      <c r="V201" s="74"/>
      <c r="W201" s="74"/>
    </row>
    <row r="202" spans="1:23" x14ac:dyDescent="0.25">
      <c r="A202" s="73" t="str">
        <f t="shared" si="198"/>
        <v>FWVUP</v>
      </c>
      <c r="B202" s="113" t="str">
        <f t="shared" si="199"/>
        <v>00</v>
      </c>
      <c r="C202" s="113" t="str">
        <f t="shared" si="200"/>
        <v>01</v>
      </c>
      <c r="D202" s="114">
        <f t="shared" si="201"/>
        <v>1900</v>
      </c>
      <c r="E202" s="114"/>
      <c r="F202" s="73" t="str">
        <f t="shared" si="202"/>
        <v>FWVUP000100</v>
      </c>
      <c r="M202" s="74"/>
      <c r="N202" s="74"/>
      <c r="O202" s="74"/>
      <c r="P202" s="74"/>
      <c r="Q202" s="74"/>
      <c r="R202" s="74"/>
      <c r="T202" s="74"/>
      <c r="U202" s="74"/>
      <c r="V202" s="74"/>
      <c r="W202" s="74"/>
    </row>
    <row r="203" spans="1:23" x14ac:dyDescent="0.25">
      <c r="A203" s="73" t="str">
        <f t="shared" si="198"/>
        <v>FWVUP</v>
      </c>
      <c r="B203" s="113" t="str">
        <f t="shared" si="199"/>
        <v>00</v>
      </c>
      <c r="C203" s="113" t="str">
        <f t="shared" si="200"/>
        <v>01</v>
      </c>
      <c r="D203" s="114">
        <f t="shared" si="201"/>
        <v>1900</v>
      </c>
      <c r="E203" s="114"/>
      <c r="F203" s="73" t="str">
        <f t="shared" si="202"/>
        <v>FWVUP000100</v>
      </c>
      <c r="M203" s="74"/>
      <c r="N203" s="74"/>
      <c r="O203" s="74"/>
      <c r="P203" s="74"/>
      <c r="Q203" s="74"/>
      <c r="R203" s="74"/>
      <c r="T203" s="74"/>
      <c r="U203" s="74"/>
      <c r="V203" s="74"/>
      <c r="W203" s="74"/>
    </row>
    <row r="204" spans="1:23" x14ac:dyDescent="0.25">
      <c r="A204" s="73" t="str">
        <f t="shared" si="198"/>
        <v>FWVUP</v>
      </c>
      <c r="B204" s="113" t="str">
        <f t="shared" si="199"/>
        <v>00</v>
      </c>
      <c r="C204" s="113" t="str">
        <f t="shared" si="200"/>
        <v>01</v>
      </c>
      <c r="D204" s="114">
        <f t="shared" si="201"/>
        <v>1900</v>
      </c>
      <c r="E204" s="114"/>
      <c r="F204" s="73" t="str">
        <f t="shared" ref="F204:F210" si="203">CONCATENATE(A203,B203,C203,RIGHT(D203,2))</f>
        <v>FWVUP000100</v>
      </c>
      <c r="M204" s="74"/>
      <c r="N204" s="74"/>
      <c r="O204" s="74"/>
      <c r="P204" s="74"/>
      <c r="Q204" s="74"/>
      <c r="R204" s="74"/>
      <c r="T204" s="74"/>
      <c r="U204" s="74"/>
      <c r="V204" s="74"/>
      <c r="W204" s="74"/>
    </row>
    <row r="205" spans="1:23" x14ac:dyDescent="0.25">
      <c r="A205" s="73" t="str">
        <f t="shared" si="198"/>
        <v>FWVUP</v>
      </c>
      <c r="B205" s="113" t="str">
        <f t="shared" si="199"/>
        <v>00</v>
      </c>
      <c r="C205" s="113" t="str">
        <f t="shared" si="200"/>
        <v>01</v>
      </c>
      <c r="D205" s="114">
        <f t="shared" si="201"/>
        <v>1900</v>
      </c>
      <c r="E205" s="114"/>
      <c r="F205" s="73" t="str">
        <f t="shared" si="203"/>
        <v>FWVUP000100</v>
      </c>
      <c r="M205" s="74"/>
      <c r="N205" s="74"/>
      <c r="O205" s="74"/>
      <c r="P205" s="74"/>
      <c r="Q205" s="74"/>
      <c r="R205" s="74"/>
      <c r="T205" s="74"/>
      <c r="U205" s="74"/>
      <c r="V205" s="74"/>
      <c r="W205" s="74"/>
    </row>
    <row r="206" spans="1:23" x14ac:dyDescent="0.25">
      <c r="A206" s="73" t="str">
        <f t="shared" si="198"/>
        <v>FWVUP</v>
      </c>
      <c r="B206" s="113" t="str">
        <f t="shared" si="199"/>
        <v>00</v>
      </c>
      <c r="C206" s="113" t="str">
        <f t="shared" si="200"/>
        <v>01</v>
      </c>
      <c r="D206" s="114">
        <f t="shared" si="201"/>
        <v>1900</v>
      </c>
      <c r="E206" s="114"/>
      <c r="F206" s="73" t="str">
        <f t="shared" si="203"/>
        <v>FWVUP000100</v>
      </c>
      <c r="M206" s="74"/>
      <c r="N206" s="74"/>
      <c r="O206" s="74"/>
      <c r="P206" s="74"/>
      <c r="Q206" s="74"/>
      <c r="R206" s="74"/>
      <c r="T206" s="74"/>
      <c r="U206" s="74"/>
      <c r="V206" s="74"/>
      <c r="W206" s="74"/>
    </row>
    <row r="207" spans="1:23" x14ac:dyDescent="0.25">
      <c r="A207" s="73" t="str">
        <f t="shared" si="198"/>
        <v>FWVUP</v>
      </c>
      <c r="B207" s="113" t="str">
        <f t="shared" si="199"/>
        <v>00</v>
      </c>
      <c r="C207" s="113" t="str">
        <f t="shared" si="200"/>
        <v>01</v>
      </c>
      <c r="D207" s="114">
        <f t="shared" si="201"/>
        <v>1900</v>
      </c>
      <c r="E207" s="114"/>
      <c r="F207" s="73" t="str">
        <f t="shared" si="203"/>
        <v>FWVUP000100</v>
      </c>
      <c r="M207" s="74"/>
      <c r="N207" s="74"/>
      <c r="O207" s="74"/>
      <c r="P207" s="74"/>
      <c r="Q207" s="74"/>
      <c r="R207" s="74"/>
      <c r="T207" s="74"/>
      <c r="U207" s="74"/>
      <c r="V207" s="74"/>
      <c r="W207" s="74"/>
    </row>
    <row r="208" spans="1:23" x14ac:dyDescent="0.25">
      <c r="A208" s="73" t="str">
        <f t="shared" si="198"/>
        <v>FWVUP</v>
      </c>
      <c r="B208" s="113" t="str">
        <f t="shared" si="199"/>
        <v>00</v>
      </c>
      <c r="C208" s="113" t="str">
        <f t="shared" si="200"/>
        <v>01</v>
      </c>
      <c r="D208" s="114">
        <f t="shared" si="201"/>
        <v>1900</v>
      </c>
      <c r="E208" s="114"/>
      <c r="F208" s="73" t="str">
        <f t="shared" si="203"/>
        <v>FWVUP000100</v>
      </c>
      <c r="M208" s="74"/>
      <c r="N208" s="74"/>
      <c r="O208" s="74"/>
      <c r="P208" s="74"/>
      <c r="Q208" s="74"/>
      <c r="R208" s="74"/>
      <c r="T208" s="74"/>
      <c r="U208" s="74"/>
      <c r="V208" s="74"/>
      <c r="W208" s="74"/>
    </row>
    <row r="209" spans="1:23" x14ac:dyDescent="0.25">
      <c r="A209" s="73" t="str">
        <f t="shared" ref="A209:A237" si="204">IF(J210="US$","FWC*P","FWVUP")</f>
        <v>FWVUP</v>
      </c>
      <c r="B209" s="113" t="str">
        <f t="shared" ref="B209:B237" si="205">IF(DAY(I210)&lt;10,CONCATENATE(0,DAY(I210)),DAY(I210))</f>
        <v>00</v>
      </c>
      <c r="C209" s="113" t="str">
        <f t="shared" ref="C209:C237" si="206">IF(MONTH(I210)&lt;10,CONCATENATE(0,MONTH(I210)),MONTH(I210))</f>
        <v>01</v>
      </c>
      <c r="D209" s="114">
        <f t="shared" ref="D209:D237" si="207">YEAR(I210)</f>
        <v>1900</v>
      </c>
      <c r="E209" s="114"/>
      <c r="F209" s="73" t="str">
        <f t="shared" si="203"/>
        <v>FWVUP000100</v>
      </c>
      <c r="M209" s="74"/>
      <c r="N209" s="74"/>
      <c r="O209" s="74"/>
      <c r="P209" s="74"/>
      <c r="Q209" s="74"/>
      <c r="R209" s="74"/>
      <c r="T209" s="74"/>
      <c r="U209" s="74"/>
      <c r="V209" s="74"/>
      <c r="W209" s="74"/>
    </row>
    <row r="210" spans="1:23" x14ac:dyDescent="0.25">
      <c r="A210" s="73" t="str">
        <f t="shared" si="204"/>
        <v>FWVUP</v>
      </c>
      <c r="B210" s="113" t="str">
        <f t="shared" si="205"/>
        <v>00</v>
      </c>
      <c r="C210" s="113" t="str">
        <f t="shared" si="206"/>
        <v>01</v>
      </c>
      <c r="D210" s="114">
        <f t="shared" si="207"/>
        <v>1900</v>
      </c>
      <c r="E210" s="114"/>
      <c r="F210" s="73" t="str">
        <f t="shared" si="203"/>
        <v>FWVUP000100</v>
      </c>
      <c r="M210" s="74"/>
      <c r="N210" s="74"/>
      <c r="O210" s="74"/>
      <c r="P210" s="74"/>
      <c r="Q210" s="74"/>
      <c r="R210" s="74"/>
      <c r="T210" s="74"/>
      <c r="U210" s="74"/>
      <c r="V210" s="74"/>
      <c r="W210" s="74"/>
    </row>
    <row r="211" spans="1:23" x14ac:dyDescent="0.25">
      <c r="A211" s="73" t="str">
        <f t="shared" si="204"/>
        <v>FWVUP</v>
      </c>
      <c r="B211" s="113" t="str">
        <f t="shared" si="205"/>
        <v>00</v>
      </c>
      <c r="C211" s="113" t="str">
        <f t="shared" si="206"/>
        <v>01</v>
      </c>
      <c r="D211" s="114">
        <f t="shared" si="207"/>
        <v>1900</v>
      </c>
      <c r="E211" s="114"/>
      <c r="F211" s="73" t="str">
        <f t="shared" ref="F211:F238" si="208">CONCATENATE(A210,B210,C210,RIGHT(D210,2))</f>
        <v>FWVUP000100</v>
      </c>
      <c r="M211" s="74"/>
      <c r="N211" s="74"/>
      <c r="O211" s="74"/>
      <c r="P211" s="74"/>
      <c r="Q211" s="74"/>
      <c r="R211" s="74"/>
      <c r="T211" s="74"/>
      <c r="U211" s="74"/>
      <c r="V211" s="74"/>
      <c r="W211" s="74"/>
    </row>
    <row r="212" spans="1:23" x14ac:dyDescent="0.25">
      <c r="A212" s="73" t="str">
        <f t="shared" si="204"/>
        <v>FWVUP</v>
      </c>
      <c r="B212" s="113" t="str">
        <f t="shared" si="205"/>
        <v>00</v>
      </c>
      <c r="C212" s="113" t="str">
        <f t="shared" si="206"/>
        <v>01</v>
      </c>
      <c r="D212" s="114">
        <f t="shared" si="207"/>
        <v>1900</v>
      </c>
      <c r="E212" s="114"/>
      <c r="F212" s="73" t="str">
        <f t="shared" si="208"/>
        <v>FWVUP000100</v>
      </c>
      <c r="M212" s="74"/>
      <c r="N212" s="74"/>
      <c r="O212" s="74"/>
      <c r="P212" s="74"/>
      <c r="Q212" s="74"/>
      <c r="R212" s="74"/>
      <c r="T212" s="74"/>
      <c r="U212" s="74"/>
      <c r="V212" s="74"/>
      <c r="W212" s="74"/>
    </row>
    <row r="213" spans="1:23" x14ac:dyDescent="0.25">
      <c r="A213" s="73" t="str">
        <f t="shared" si="204"/>
        <v>FWVUP</v>
      </c>
      <c r="B213" s="113" t="str">
        <f t="shared" si="205"/>
        <v>00</v>
      </c>
      <c r="C213" s="113" t="str">
        <f t="shared" si="206"/>
        <v>01</v>
      </c>
      <c r="D213" s="114">
        <f t="shared" si="207"/>
        <v>1900</v>
      </c>
      <c r="E213" s="114"/>
      <c r="F213" s="73" t="str">
        <f t="shared" si="208"/>
        <v>FWVUP000100</v>
      </c>
      <c r="M213" s="74"/>
      <c r="N213" s="74"/>
      <c r="O213" s="74"/>
      <c r="P213" s="74"/>
      <c r="Q213" s="74"/>
      <c r="R213" s="74"/>
      <c r="T213" s="74"/>
      <c r="U213" s="74"/>
      <c r="V213" s="74"/>
      <c r="W213" s="74"/>
    </row>
    <row r="214" spans="1:23" x14ac:dyDescent="0.25">
      <c r="A214" s="73" t="str">
        <f t="shared" si="204"/>
        <v>FWVUP</v>
      </c>
      <c r="B214" s="113" t="str">
        <f t="shared" si="205"/>
        <v>00</v>
      </c>
      <c r="C214" s="113" t="str">
        <f t="shared" si="206"/>
        <v>01</v>
      </c>
      <c r="D214" s="114">
        <f t="shared" si="207"/>
        <v>1900</v>
      </c>
      <c r="E214" s="114"/>
      <c r="F214" s="73" t="str">
        <f t="shared" si="208"/>
        <v>FWVUP000100</v>
      </c>
      <c r="M214" s="74"/>
      <c r="N214" s="74"/>
      <c r="O214" s="74"/>
      <c r="P214" s="74"/>
      <c r="Q214" s="74"/>
      <c r="R214" s="74"/>
      <c r="T214" s="74"/>
      <c r="U214" s="74"/>
      <c r="V214" s="74"/>
      <c r="W214" s="74"/>
    </row>
    <row r="215" spans="1:23" x14ac:dyDescent="0.25">
      <c r="A215" s="73" t="str">
        <f t="shared" si="204"/>
        <v>FWVUP</v>
      </c>
      <c r="B215" s="113" t="str">
        <f t="shared" si="205"/>
        <v>00</v>
      </c>
      <c r="C215" s="113" t="str">
        <f t="shared" si="206"/>
        <v>01</v>
      </c>
      <c r="D215" s="114">
        <f t="shared" si="207"/>
        <v>1900</v>
      </c>
      <c r="E215" s="114"/>
      <c r="F215" s="73" t="str">
        <f t="shared" si="208"/>
        <v>FWVUP000100</v>
      </c>
      <c r="M215" s="74"/>
      <c r="N215" s="74"/>
      <c r="O215" s="74"/>
      <c r="P215" s="74"/>
      <c r="Q215" s="74"/>
      <c r="R215" s="74"/>
      <c r="T215" s="74"/>
      <c r="U215" s="74"/>
      <c r="V215" s="74"/>
      <c r="W215" s="74"/>
    </row>
    <row r="216" spans="1:23" x14ac:dyDescent="0.25">
      <c r="A216" s="73" t="str">
        <f t="shared" si="204"/>
        <v>FWVUP</v>
      </c>
      <c r="B216" s="113" t="str">
        <f t="shared" si="205"/>
        <v>00</v>
      </c>
      <c r="C216" s="113" t="str">
        <f t="shared" si="206"/>
        <v>01</v>
      </c>
      <c r="D216" s="114">
        <f t="shared" si="207"/>
        <v>1900</v>
      </c>
      <c r="E216" s="114"/>
      <c r="F216" s="73" t="str">
        <f t="shared" si="208"/>
        <v>FWVUP000100</v>
      </c>
      <c r="M216" s="74"/>
      <c r="N216" s="74"/>
      <c r="O216" s="74"/>
      <c r="P216" s="74"/>
      <c r="Q216" s="74"/>
      <c r="R216" s="74"/>
      <c r="T216" s="74"/>
      <c r="U216" s="74"/>
      <c r="V216" s="74"/>
      <c r="W216" s="74"/>
    </row>
    <row r="217" spans="1:23" x14ac:dyDescent="0.25">
      <c r="A217" s="73" t="str">
        <f t="shared" si="204"/>
        <v>FWVUP</v>
      </c>
      <c r="B217" s="113" t="str">
        <f t="shared" si="205"/>
        <v>00</v>
      </c>
      <c r="C217" s="113" t="str">
        <f t="shared" si="206"/>
        <v>01</v>
      </c>
      <c r="D217" s="114">
        <f t="shared" si="207"/>
        <v>1900</v>
      </c>
      <c r="E217" s="114"/>
      <c r="F217" s="73" t="str">
        <f t="shared" si="208"/>
        <v>FWVUP000100</v>
      </c>
      <c r="M217" s="74"/>
      <c r="N217" s="74"/>
      <c r="O217" s="74"/>
      <c r="P217" s="74"/>
      <c r="Q217" s="74"/>
      <c r="R217" s="74"/>
      <c r="T217" s="74"/>
      <c r="U217" s="74"/>
      <c r="V217" s="74"/>
      <c r="W217" s="74"/>
    </row>
    <row r="218" spans="1:23" x14ac:dyDescent="0.25">
      <c r="A218" s="73" t="str">
        <f t="shared" si="204"/>
        <v>FWVUP</v>
      </c>
      <c r="B218" s="113" t="str">
        <f t="shared" si="205"/>
        <v>00</v>
      </c>
      <c r="C218" s="113" t="str">
        <f t="shared" si="206"/>
        <v>01</v>
      </c>
      <c r="D218" s="114">
        <f t="shared" si="207"/>
        <v>1900</v>
      </c>
      <c r="E218" s="114"/>
      <c r="F218" s="73" t="str">
        <f t="shared" si="208"/>
        <v>FWVUP000100</v>
      </c>
      <c r="M218" s="74"/>
      <c r="N218" s="74"/>
      <c r="O218" s="74"/>
      <c r="P218" s="74"/>
      <c r="Q218" s="74"/>
      <c r="R218" s="74"/>
      <c r="T218" s="74"/>
      <c r="U218" s="74"/>
      <c r="V218" s="74"/>
      <c r="W218" s="74"/>
    </row>
    <row r="219" spans="1:23" x14ac:dyDescent="0.25">
      <c r="A219" s="73" t="str">
        <f t="shared" si="204"/>
        <v>FWVUP</v>
      </c>
      <c r="B219" s="113" t="str">
        <f t="shared" si="205"/>
        <v>00</v>
      </c>
      <c r="C219" s="113" t="str">
        <f t="shared" si="206"/>
        <v>01</v>
      </c>
      <c r="D219" s="114">
        <f t="shared" si="207"/>
        <v>1900</v>
      </c>
      <c r="E219" s="114"/>
      <c r="F219" s="73" t="str">
        <f t="shared" si="208"/>
        <v>FWVUP000100</v>
      </c>
      <c r="M219" s="74"/>
      <c r="N219" s="74"/>
      <c r="O219" s="74"/>
      <c r="P219" s="74"/>
      <c r="Q219" s="74"/>
      <c r="R219" s="74"/>
      <c r="T219" s="74"/>
      <c r="U219" s="74"/>
      <c r="V219" s="74"/>
      <c r="W219" s="74"/>
    </row>
    <row r="220" spans="1:23" x14ac:dyDescent="0.25">
      <c r="A220" s="73" t="str">
        <f t="shared" si="204"/>
        <v>FWVUP</v>
      </c>
      <c r="B220" s="113" t="str">
        <f t="shared" si="205"/>
        <v>00</v>
      </c>
      <c r="C220" s="113" t="str">
        <f t="shared" si="206"/>
        <v>01</v>
      </c>
      <c r="D220" s="114">
        <f t="shared" si="207"/>
        <v>1900</v>
      </c>
      <c r="E220" s="114"/>
      <c r="F220" s="73" t="str">
        <f t="shared" si="208"/>
        <v>FWVUP000100</v>
      </c>
      <c r="M220" s="74"/>
      <c r="N220" s="74"/>
      <c r="O220" s="74"/>
      <c r="P220" s="74"/>
      <c r="Q220" s="74"/>
      <c r="R220" s="74"/>
      <c r="T220" s="74"/>
      <c r="U220" s="74"/>
      <c r="V220" s="74"/>
      <c r="W220" s="74"/>
    </row>
    <row r="221" spans="1:23" x14ac:dyDescent="0.25">
      <c r="A221" s="73" t="str">
        <f t="shared" si="204"/>
        <v>FWVUP</v>
      </c>
      <c r="B221" s="113" t="str">
        <f t="shared" si="205"/>
        <v>00</v>
      </c>
      <c r="C221" s="113" t="str">
        <f t="shared" si="206"/>
        <v>01</v>
      </c>
      <c r="D221" s="114">
        <f t="shared" si="207"/>
        <v>1900</v>
      </c>
      <c r="E221" s="114"/>
      <c r="F221" s="73" t="str">
        <f t="shared" si="208"/>
        <v>FWVUP000100</v>
      </c>
      <c r="M221" s="74"/>
      <c r="N221" s="74"/>
      <c r="O221" s="74"/>
      <c r="P221" s="74"/>
      <c r="Q221" s="74"/>
      <c r="R221" s="74"/>
      <c r="T221" s="74"/>
      <c r="U221" s="74"/>
      <c r="V221" s="74"/>
      <c r="W221" s="74"/>
    </row>
    <row r="222" spans="1:23" x14ac:dyDescent="0.25">
      <c r="A222" s="73" t="str">
        <f t="shared" si="204"/>
        <v>FWVUP</v>
      </c>
      <c r="B222" s="113" t="str">
        <f t="shared" si="205"/>
        <v>00</v>
      </c>
      <c r="C222" s="113" t="str">
        <f t="shared" si="206"/>
        <v>01</v>
      </c>
      <c r="D222" s="114">
        <f t="shared" si="207"/>
        <v>1900</v>
      </c>
      <c r="E222" s="114"/>
      <c r="F222" s="73" t="str">
        <f t="shared" si="208"/>
        <v>FWVUP000100</v>
      </c>
      <c r="M222" s="74"/>
      <c r="N222" s="74"/>
      <c r="O222" s="74"/>
      <c r="P222" s="74"/>
      <c r="Q222" s="74"/>
      <c r="R222" s="74"/>
      <c r="T222" s="74"/>
      <c r="U222" s="74"/>
      <c r="V222" s="74"/>
      <c r="W222" s="74"/>
    </row>
    <row r="223" spans="1:23" x14ac:dyDescent="0.25">
      <c r="A223" s="73" t="str">
        <f t="shared" si="204"/>
        <v>FWVUP</v>
      </c>
      <c r="B223" s="113" t="str">
        <f t="shared" si="205"/>
        <v>00</v>
      </c>
      <c r="C223" s="113" t="str">
        <f t="shared" si="206"/>
        <v>01</v>
      </c>
      <c r="D223" s="114">
        <f t="shared" si="207"/>
        <v>1900</v>
      </c>
      <c r="E223" s="114"/>
      <c r="F223" s="73" t="str">
        <f t="shared" si="208"/>
        <v>FWVUP000100</v>
      </c>
      <c r="M223" s="74"/>
      <c r="N223" s="74"/>
      <c r="O223" s="74"/>
      <c r="P223" s="74"/>
      <c r="Q223" s="74"/>
      <c r="R223" s="74"/>
      <c r="T223" s="74"/>
      <c r="U223" s="74"/>
      <c r="V223" s="74"/>
      <c r="W223" s="74"/>
    </row>
    <row r="224" spans="1:23" x14ac:dyDescent="0.25">
      <c r="A224" s="73" t="str">
        <f t="shared" si="204"/>
        <v>FWVUP</v>
      </c>
      <c r="B224" s="113" t="str">
        <f t="shared" si="205"/>
        <v>00</v>
      </c>
      <c r="C224" s="113" t="str">
        <f t="shared" si="206"/>
        <v>01</v>
      </c>
      <c r="D224" s="114">
        <f t="shared" si="207"/>
        <v>1900</v>
      </c>
      <c r="E224" s="114"/>
      <c r="F224" s="73" t="str">
        <f t="shared" si="208"/>
        <v>FWVUP000100</v>
      </c>
      <c r="M224" s="74"/>
      <c r="N224" s="74"/>
      <c r="O224" s="74"/>
      <c r="P224" s="74"/>
      <c r="Q224" s="74"/>
      <c r="R224" s="74"/>
      <c r="T224" s="74"/>
      <c r="U224" s="74"/>
      <c r="V224" s="74"/>
      <c r="W224" s="74"/>
    </row>
    <row r="225" spans="1:23" x14ac:dyDescent="0.25">
      <c r="A225" s="73" t="str">
        <f t="shared" si="204"/>
        <v>FWVUP</v>
      </c>
      <c r="B225" s="113" t="str">
        <f t="shared" si="205"/>
        <v>00</v>
      </c>
      <c r="C225" s="113" t="str">
        <f t="shared" si="206"/>
        <v>01</v>
      </c>
      <c r="D225" s="114">
        <f t="shared" si="207"/>
        <v>1900</v>
      </c>
      <c r="E225" s="114"/>
      <c r="F225" s="73" t="str">
        <f t="shared" si="208"/>
        <v>FWVUP000100</v>
      </c>
      <c r="M225" s="74"/>
      <c r="N225" s="74"/>
      <c r="O225" s="74"/>
      <c r="P225" s="74"/>
      <c r="Q225" s="74"/>
      <c r="R225" s="74"/>
      <c r="T225" s="74"/>
      <c r="U225" s="74"/>
      <c r="V225" s="74"/>
      <c r="W225" s="74"/>
    </row>
    <row r="226" spans="1:23" x14ac:dyDescent="0.25">
      <c r="A226" s="73" t="str">
        <f t="shared" si="204"/>
        <v>FWVUP</v>
      </c>
      <c r="B226" s="113" t="str">
        <f t="shared" si="205"/>
        <v>00</v>
      </c>
      <c r="C226" s="113" t="str">
        <f t="shared" si="206"/>
        <v>01</v>
      </c>
      <c r="D226" s="114">
        <f t="shared" si="207"/>
        <v>1900</v>
      </c>
      <c r="E226" s="114"/>
      <c r="F226" s="73" t="str">
        <f t="shared" si="208"/>
        <v>FWVUP000100</v>
      </c>
      <c r="M226" s="74"/>
      <c r="N226" s="74"/>
      <c r="O226" s="74"/>
      <c r="P226" s="74"/>
      <c r="Q226" s="74"/>
      <c r="R226" s="74"/>
      <c r="T226" s="74"/>
      <c r="U226" s="74"/>
      <c r="V226" s="74"/>
      <c r="W226" s="74"/>
    </row>
    <row r="227" spans="1:23" x14ac:dyDescent="0.25">
      <c r="A227" s="73" t="str">
        <f t="shared" si="204"/>
        <v>FWVUP</v>
      </c>
      <c r="B227" s="113" t="str">
        <f t="shared" si="205"/>
        <v>00</v>
      </c>
      <c r="C227" s="113" t="str">
        <f t="shared" si="206"/>
        <v>01</v>
      </c>
      <c r="D227" s="114">
        <f t="shared" si="207"/>
        <v>1900</v>
      </c>
      <c r="E227" s="114"/>
      <c r="F227" s="73" t="str">
        <f t="shared" si="208"/>
        <v>FWVUP000100</v>
      </c>
      <c r="M227" s="74"/>
      <c r="N227" s="74"/>
      <c r="O227" s="74"/>
      <c r="P227" s="74"/>
      <c r="Q227" s="74"/>
      <c r="R227" s="74"/>
      <c r="T227" s="74"/>
      <c r="U227" s="74"/>
      <c r="V227" s="74"/>
      <c r="W227" s="74"/>
    </row>
    <row r="228" spans="1:23" x14ac:dyDescent="0.25">
      <c r="A228" s="73" t="str">
        <f t="shared" si="204"/>
        <v>FWVUP</v>
      </c>
      <c r="B228" s="113" t="str">
        <f t="shared" si="205"/>
        <v>00</v>
      </c>
      <c r="C228" s="113" t="str">
        <f t="shared" si="206"/>
        <v>01</v>
      </c>
      <c r="D228" s="114">
        <f t="shared" si="207"/>
        <v>1900</v>
      </c>
      <c r="E228" s="114"/>
      <c r="F228" s="73" t="str">
        <f t="shared" si="208"/>
        <v>FWVUP000100</v>
      </c>
      <c r="M228" s="74"/>
      <c r="N228" s="74"/>
      <c r="O228" s="74"/>
      <c r="P228" s="74"/>
      <c r="Q228" s="74"/>
      <c r="R228" s="74"/>
      <c r="T228" s="74"/>
      <c r="U228" s="74"/>
      <c r="V228" s="74"/>
      <c r="W228" s="74"/>
    </row>
    <row r="229" spans="1:23" x14ac:dyDescent="0.25">
      <c r="A229" s="73" t="str">
        <f t="shared" si="204"/>
        <v>FWVUP</v>
      </c>
      <c r="B229" s="113" t="str">
        <f t="shared" si="205"/>
        <v>00</v>
      </c>
      <c r="C229" s="113" t="str">
        <f t="shared" si="206"/>
        <v>01</v>
      </c>
      <c r="D229" s="114">
        <f t="shared" si="207"/>
        <v>1900</v>
      </c>
      <c r="E229" s="114"/>
      <c r="F229" s="73" t="str">
        <f t="shared" si="208"/>
        <v>FWVUP000100</v>
      </c>
      <c r="M229" s="74"/>
      <c r="N229" s="74"/>
      <c r="O229" s="74"/>
      <c r="P229" s="74"/>
      <c r="Q229" s="74"/>
      <c r="R229" s="74"/>
      <c r="T229" s="74"/>
      <c r="U229" s="74"/>
      <c r="V229" s="74"/>
      <c r="W229" s="74"/>
    </row>
    <row r="230" spans="1:23" x14ac:dyDescent="0.25">
      <c r="A230" s="73" t="str">
        <f t="shared" si="204"/>
        <v>FWVUP</v>
      </c>
      <c r="B230" s="113" t="str">
        <f t="shared" si="205"/>
        <v>00</v>
      </c>
      <c r="C230" s="113" t="str">
        <f t="shared" si="206"/>
        <v>01</v>
      </c>
      <c r="D230" s="114">
        <f t="shared" si="207"/>
        <v>1900</v>
      </c>
      <c r="E230" s="114"/>
      <c r="F230" s="73" t="str">
        <f t="shared" si="208"/>
        <v>FWVUP000100</v>
      </c>
      <c r="M230" s="74"/>
      <c r="N230" s="74"/>
      <c r="O230" s="74"/>
      <c r="P230" s="74"/>
      <c r="Q230" s="74"/>
      <c r="R230" s="74"/>
      <c r="T230" s="74"/>
      <c r="U230" s="74"/>
      <c r="V230" s="74"/>
      <c r="W230" s="74"/>
    </row>
    <row r="231" spans="1:23" x14ac:dyDescent="0.25">
      <c r="A231" s="73" t="str">
        <f t="shared" si="204"/>
        <v>FWVUP</v>
      </c>
      <c r="B231" s="113" t="str">
        <f t="shared" si="205"/>
        <v>00</v>
      </c>
      <c r="C231" s="113" t="str">
        <f t="shared" si="206"/>
        <v>01</v>
      </c>
      <c r="D231" s="114">
        <f t="shared" si="207"/>
        <v>1900</v>
      </c>
      <c r="E231" s="114"/>
      <c r="F231" s="73" t="str">
        <f t="shared" si="208"/>
        <v>FWVUP000100</v>
      </c>
      <c r="M231" s="74"/>
      <c r="N231" s="74"/>
      <c r="O231" s="74"/>
      <c r="P231" s="74"/>
      <c r="Q231" s="74"/>
      <c r="R231" s="74"/>
      <c r="T231" s="74"/>
      <c r="U231" s="74"/>
      <c r="V231" s="74"/>
      <c r="W231" s="74"/>
    </row>
    <row r="232" spans="1:23" x14ac:dyDescent="0.25">
      <c r="A232" s="73" t="str">
        <f t="shared" si="204"/>
        <v>FWVUP</v>
      </c>
      <c r="B232" s="113" t="str">
        <f t="shared" si="205"/>
        <v>00</v>
      </c>
      <c r="C232" s="113" t="str">
        <f t="shared" si="206"/>
        <v>01</v>
      </c>
      <c r="D232" s="114">
        <f t="shared" si="207"/>
        <v>1900</v>
      </c>
      <c r="E232" s="114"/>
      <c r="F232" s="73" t="str">
        <f t="shared" si="208"/>
        <v>FWVUP000100</v>
      </c>
      <c r="M232" s="74"/>
      <c r="N232" s="74"/>
      <c r="O232" s="74"/>
      <c r="P232" s="74"/>
      <c r="Q232" s="74"/>
      <c r="R232" s="74"/>
      <c r="T232" s="74"/>
      <c r="U232" s="74"/>
      <c r="V232" s="74"/>
      <c r="W232" s="74"/>
    </row>
    <row r="233" spans="1:23" x14ac:dyDescent="0.25">
      <c r="A233" s="73" t="str">
        <f t="shared" si="204"/>
        <v>FWVUP</v>
      </c>
      <c r="B233" s="113" t="str">
        <f t="shared" si="205"/>
        <v>00</v>
      </c>
      <c r="C233" s="113" t="str">
        <f t="shared" si="206"/>
        <v>01</v>
      </c>
      <c r="D233" s="114">
        <f t="shared" si="207"/>
        <v>1900</v>
      </c>
      <c r="E233" s="114"/>
      <c r="F233" s="73" t="str">
        <f t="shared" si="208"/>
        <v>FWVUP000100</v>
      </c>
      <c r="M233" s="74"/>
      <c r="N233" s="74"/>
      <c r="O233" s="74"/>
      <c r="P233" s="74"/>
      <c r="Q233" s="74"/>
      <c r="R233" s="74"/>
      <c r="T233" s="74"/>
      <c r="U233" s="74"/>
      <c r="V233" s="74"/>
      <c r="W233" s="74"/>
    </row>
    <row r="234" spans="1:23" x14ac:dyDescent="0.25">
      <c r="A234" s="73" t="str">
        <f t="shared" si="204"/>
        <v>FWVUP</v>
      </c>
      <c r="B234" s="113" t="str">
        <f t="shared" si="205"/>
        <v>00</v>
      </c>
      <c r="C234" s="113" t="str">
        <f t="shared" si="206"/>
        <v>01</v>
      </c>
      <c r="D234" s="114">
        <f t="shared" si="207"/>
        <v>1900</v>
      </c>
      <c r="E234" s="114"/>
      <c r="F234" s="73" t="str">
        <f t="shared" si="208"/>
        <v>FWVUP000100</v>
      </c>
      <c r="M234" s="74"/>
      <c r="N234" s="74"/>
      <c r="O234" s="74"/>
      <c r="P234" s="74"/>
      <c r="Q234" s="74"/>
      <c r="R234" s="74"/>
      <c r="T234" s="74"/>
      <c r="U234" s="74"/>
      <c r="V234" s="74"/>
      <c r="W234" s="74"/>
    </row>
    <row r="235" spans="1:23" x14ac:dyDescent="0.25">
      <c r="A235" s="73" t="str">
        <f t="shared" si="204"/>
        <v>FWVUP</v>
      </c>
      <c r="B235" s="113" t="str">
        <f t="shared" si="205"/>
        <v>00</v>
      </c>
      <c r="C235" s="113" t="str">
        <f t="shared" si="206"/>
        <v>01</v>
      </c>
      <c r="D235" s="114">
        <f t="shared" si="207"/>
        <v>1900</v>
      </c>
      <c r="E235" s="114"/>
      <c r="F235" s="73" t="str">
        <f t="shared" si="208"/>
        <v>FWVUP000100</v>
      </c>
      <c r="M235" s="74"/>
      <c r="N235" s="74"/>
      <c r="O235" s="74"/>
      <c r="P235" s="74"/>
      <c r="Q235" s="74"/>
      <c r="R235" s="74"/>
      <c r="T235" s="74"/>
      <c r="U235" s="74"/>
      <c r="V235" s="74"/>
      <c r="W235" s="74"/>
    </row>
    <row r="236" spans="1:23" x14ac:dyDescent="0.25">
      <c r="A236" s="73" t="str">
        <f t="shared" si="204"/>
        <v>FWVUP</v>
      </c>
      <c r="B236" s="113" t="str">
        <f t="shared" si="205"/>
        <v>00</v>
      </c>
      <c r="C236" s="113" t="str">
        <f t="shared" si="206"/>
        <v>01</v>
      </c>
      <c r="D236" s="114">
        <f t="shared" si="207"/>
        <v>1900</v>
      </c>
      <c r="E236" s="114"/>
      <c r="F236" s="73" t="str">
        <f t="shared" si="208"/>
        <v>FWVUP000100</v>
      </c>
      <c r="M236" s="74"/>
      <c r="N236" s="74"/>
      <c r="O236" s="74"/>
      <c r="P236" s="74"/>
      <c r="Q236" s="74"/>
      <c r="R236" s="74"/>
      <c r="T236" s="74"/>
      <c r="U236" s="74"/>
      <c r="V236" s="74"/>
      <c r="W236" s="74"/>
    </row>
    <row r="237" spans="1:23" x14ac:dyDescent="0.25">
      <c r="A237" s="73" t="str">
        <f t="shared" si="204"/>
        <v>FWVUP</v>
      </c>
      <c r="B237" s="113" t="str">
        <f t="shared" si="205"/>
        <v>00</v>
      </c>
      <c r="C237" s="113" t="str">
        <f t="shared" si="206"/>
        <v>01</v>
      </c>
      <c r="D237" s="114">
        <f t="shared" si="207"/>
        <v>1900</v>
      </c>
      <c r="E237" s="114"/>
      <c r="F237" s="73" t="str">
        <f t="shared" si="208"/>
        <v>FWVUP000100</v>
      </c>
      <c r="M237" s="74"/>
      <c r="N237" s="74"/>
      <c r="O237" s="74"/>
      <c r="P237" s="74"/>
      <c r="Q237" s="74"/>
      <c r="R237" s="74"/>
      <c r="T237" s="74"/>
      <c r="U237" s="74"/>
      <c r="V237" s="74"/>
      <c r="W237" s="74"/>
    </row>
    <row r="238" spans="1:23" x14ac:dyDescent="0.25">
      <c r="F238" s="73" t="str">
        <f t="shared" si="208"/>
        <v>FWVUP000100</v>
      </c>
      <c r="M238" s="74"/>
      <c r="N238" s="74"/>
      <c r="O238" s="74"/>
      <c r="P238" s="74"/>
      <c r="Q238" s="74"/>
      <c r="R238" s="74"/>
      <c r="T238" s="74"/>
      <c r="U238" s="74"/>
      <c r="V238" s="74"/>
    </row>
  </sheetData>
  <mergeCells count="1">
    <mergeCell ref="H4:V4"/>
  </mergeCells>
  <pageMargins left="0.7" right="0.7" top="0.75" bottom="0.75" header="0.3" footer="0.3"/>
  <pageSetup orientation="portrait" r:id="rId1"/>
  <ignoredErrors>
    <ignoredError sqref="L9" unlockedFormula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>
    <tabColor rgb="FF92D050"/>
  </sheetPr>
  <dimension ref="B3:M277"/>
  <sheetViews>
    <sheetView zoomScale="85" zoomScaleNormal="85" workbookViewId="0">
      <selection activeCell="K75" sqref="K75"/>
    </sheetView>
  </sheetViews>
  <sheetFormatPr baseColWidth="10" defaultRowHeight="15" x14ac:dyDescent="0.25"/>
  <cols>
    <col min="1" max="1" width="4.42578125" style="214" customWidth="1"/>
    <col min="2" max="2" width="27.7109375" style="214" bestFit="1" customWidth="1"/>
    <col min="3" max="3" width="16.85546875" style="214" customWidth="1"/>
    <col min="4" max="4" width="15.28515625" style="214" customWidth="1"/>
    <col min="5" max="5" width="22.140625" style="214" bestFit="1" customWidth="1"/>
    <col min="6" max="6" width="16" style="214" bestFit="1" customWidth="1"/>
    <col min="7" max="8" width="13.42578125" style="214" bestFit="1" customWidth="1"/>
    <col min="9" max="9" width="11.42578125" style="214"/>
    <col min="10" max="10" width="17.28515625" style="214" customWidth="1"/>
    <col min="11" max="11" width="14.42578125" style="234" bestFit="1" customWidth="1"/>
    <col min="12" max="12" width="22.140625" style="214" bestFit="1" customWidth="1"/>
    <col min="13" max="13" width="19.85546875" style="214" bestFit="1" customWidth="1"/>
    <col min="14" max="14" width="6.140625" style="214" bestFit="1" customWidth="1"/>
    <col min="15" max="16384" width="11.42578125" style="214"/>
  </cols>
  <sheetData>
    <row r="3" spans="2:8" x14ac:dyDescent="0.25">
      <c r="B3" s="347" t="s">
        <v>67</v>
      </c>
      <c r="C3" s="347"/>
    </row>
    <row r="4" spans="2:8" x14ac:dyDescent="0.25">
      <c r="B4" s="215" t="str">
        <f ca="1">PROPER((TEXT(C4,"DDDD")))</f>
        <v>Viernes</v>
      </c>
      <c r="C4" s="216">
        <f ca="1">TODAY()</f>
        <v>43238</v>
      </c>
      <c r="G4" s="346" t="s">
        <v>155</v>
      </c>
      <c r="H4" s="346"/>
    </row>
    <row r="5" spans="2:8" hidden="1" x14ac:dyDescent="0.25">
      <c r="B5" s="217" t="s">
        <v>44</v>
      </c>
      <c r="C5" s="218"/>
      <c r="D5" s="219" t="s">
        <v>112</v>
      </c>
      <c r="E5" s="219" t="s">
        <v>113</v>
      </c>
      <c r="F5" s="220" t="s">
        <v>159</v>
      </c>
      <c r="G5" s="221"/>
      <c r="H5" s="221"/>
    </row>
    <row r="6" spans="2:8" hidden="1" x14ac:dyDescent="0.25">
      <c r="B6" s="217" t="s">
        <v>47</v>
      </c>
      <c r="C6" s="222"/>
      <c r="D6" s="219" t="s">
        <v>118</v>
      </c>
      <c r="E6" s="219" t="s">
        <v>119</v>
      </c>
      <c r="F6" s="220" t="s">
        <v>159</v>
      </c>
      <c r="G6" s="221"/>
      <c r="H6" s="221"/>
    </row>
    <row r="7" spans="2:8" hidden="1" x14ac:dyDescent="0.25">
      <c r="B7" s="217" t="s">
        <v>48</v>
      </c>
      <c r="C7" s="222"/>
      <c r="D7" s="214" t="s">
        <v>123</v>
      </c>
      <c r="E7" s="214" t="s">
        <v>124</v>
      </c>
      <c r="F7" s="220" t="s">
        <v>159</v>
      </c>
      <c r="G7" s="221"/>
      <c r="H7" s="221"/>
    </row>
    <row r="8" spans="2:8" hidden="1" x14ac:dyDescent="0.25">
      <c r="B8" s="217" t="s">
        <v>73</v>
      </c>
      <c r="C8" s="222"/>
      <c r="D8" s="219" t="s">
        <v>125</v>
      </c>
      <c r="E8" s="219" t="s">
        <v>126</v>
      </c>
      <c r="F8" s="220" t="s">
        <v>159</v>
      </c>
      <c r="G8" s="221"/>
      <c r="H8" s="221"/>
    </row>
    <row r="9" spans="2:8" hidden="1" x14ac:dyDescent="0.25">
      <c r="B9" s="217" t="s">
        <v>75</v>
      </c>
      <c r="C9" s="222"/>
      <c r="D9" s="219" t="s">
        <v>132</v>
      </c>
      <c r="E9" s="219" t="s">
        <v>133</v>
      </c>
      <c r="F9" s="220" t="s">
        <v>159</v>
      </c>
      <c r="G9" s="221"/>
      <c r="H9" s="221"/>
    </row>
    <row r="10" spans="2:8" hidden="1" x14ac:dyDescent="0.25">
      <c r="B10" s="217" t="s">
        <v>128</v>
      </c>
      <c r="C10" s="222"/>
      <c r="D10" s="219" t="s">
        <v>130</v>
      </c>
      <c r="E10" s="219" t="s">
        <v>131</v>
      </c>
      <c r="F10" s="220" t="s">
        <v>159</v>
      </c>
      <c r="G10" s="221"/>
      <c r="H10" s="221"/>
    </row>
    <row r="11" spans="2:8" hidden="1" x14ac:dyDescent="0.25">
      <c r="B11" s="217" t="s">
        <v>134</v>
      </c>
      <c r="C11" s="222"/>
      <c r="D11" s="219" t="s">
        <v>137</v>
      </c>
      <c r="E11" s="219" t="s">
        <v>133</v>
      </c>
      <c r="F11" s="220" t="s">
        <v>159</v>
      </c>
      <c r="G11" s="221"/>
      <c r="H11" s="221"/>
    </row>
    <row r="12" spans="2:8" hidden="1" x14ac:dyDescent="0.25">
      <c r="B12" s="217" t="s">
        <v>139</v>
      </c>
      <c r="C12" s="222"/>
      <c r="D12" s="219" t="s">
        <v>142</v>
      </c>
      <c r="E12" s="219" t="s">
        <v>143</v>
      </c>
      <c r="F12" s="220" t="s">
        <v>159</v>
      </c>
      <c r="G12" s="221"/>
      <c r="H12" s="221"/>
    </row>
    <row r="13" spans="2:8" hidden="1" x14ac:dyDescent="0.25">
      <c r="B13" s="217" t="s">
        <v>140</v>
      </c>
      <c r="C13" s="222"/>
      <c r="D13" s="214" t="s">
        <v>144</v>
      </c>
      <c r="E13" s="214" t="s">
        <v>145</v>
      </c>
      <c r="F13" s="223" t="s">
        <v>159</v>
      </c>
      <c r="G13" s="221"/>
      <c r="H13" s="224"/>
    </row>
    <row r="14" spans="2:8" hidden="1" x14ac:dyDescent="0.25">
      <c r="B14" s="217" t="s">
        <v>151</v>
      </c>
      <c r="C14" s="222"/>
      <c r="D14" s="214" t="s">
        <v>152</v>
      </c>
      <c r="E14" s="214" t="s">
        <v>153</v>
      </c>
      <c r="F14" s="240" t="s">
        <v>159</v>
      </c>
      <c r="G14" s="221"/>
      <c r="H14" s="224"/>
    </row>
    <row r="15" spans="2:8" hidden="1" x14ac:dyDescent="0.25">
      <c r="B15" s="217" t="s">
        <v>161</v>
      </c>
      <c r="C15" s="222"/>
      <c r="D15" s="214" t="s">
        <v>163</v>
      </c>
      <c r="E15" s="214" t="s">
        <v>145</v>
      </c>
      <c r="F15" s="223" t="s">
        <v>159</v>
      </c>
      <c r="G15" s="221"/>
      <c r="H15" s="224">
        <f>IFERROR(VLOOKUP(G15,[3]Sheet1!$A$15:$AE$37,29,0),0)</f>
        <v>0</v>
      </c>
    </row>
    <row r="16" spans="2:8" hidden="1" x14ac:dyDescent="0.25">
      <c r="B16" s="217" t="s">
        <v>162</v>
      </c>
      <c r="C16" s="222"/>
      <c r="D16" s="214" t="s">
        <v>164</v>
      </c>
      <c r="E16" s="214" t="s">
        <v>165</v>
      </c>
      <c r="F16" s="223" t="s">
        <v>159</v>
      </c>
      <c r="G16" s="221"/>
      <c r="H16" s="224">
        <f>IFERROR(VLOOKUP(G16,[3]Sheet1!$A$15:$AE$37,29,0),0)</f>
        <v>0</v>
      </c>
    </row>
    <row r="17" spans="2:10" hidden="1" x14ac:dyDescent="0.25">
      <c r="B17" s="217" t="s">
        <v>167</v>
      </c>
      <c r="C17" s="222"/>
      <c r="D17" s="214" t="s">
        <v>170</v>
      </c>
      <c r="E17" s="214" t="s">
        <v>153</v>
      </c>
      <c r="F17" s="223" t="s">
        <v>159</v>
      </c>
      <c r="G17" s="221"/>
      <c r="H17" s="224">
        <f>IFERROR(VLOOKUP(G17,[3]Sheet1!$A$15:$AE$37,29,0),0)</f>
        <v>0</v>
      </c>
    </row>
    <row r="18" spans="2:10" hidden="1" x14ac:dyDescent="0.25">
      <c r="B18" s="217" t="s">
        <v>169</v>
      </c>
      <c r="C18" s="222"/>
      <c r="D18" s="214" t="s">
        <v>171</v>
      </c>
      <c r="E18" s="214" t="s">
        <v>124</v>
      </c>
      <c r="F18" s="223" t="s">
        <v>159</v>
      </c>
      <c r="G18" s="221"/>
      <c r="H18" s="224">
        <f>IFERROR(VLOOKUP(G18,[3]Sheet1!$A$15:$AE$37,29,0),0)</f>
        <v>0</v>
      </c>
    </row>
    <row r="19" spans="2:10" hidden="1" x14ac:dyDescent="0.25">
      <c r="B19" s="217" t="s">
        <v>173</v>
      </c>
      <c r="C19" s="222"/>
      <c r="D19" s="214" t="s">
        <v>176</v>
      </c>
      <c r="E19" s="214" t="s">
        <v>126</v>
      </c>
      <c r="F19" s="240" t="s">
        <v>159</v>
      </c>
      <c r="G19" s="221"/>
      <c r="H19" s="224"/>
    </row>
    <row r="20" spans="2:10" hidden="1" x14ac:dyDescent="0.25">
      <c r="B20" s="217" t="s">
        <v>179</v>
      </c>
      <c r="C20" s="222"/>
      <c r="D20" s="214" t="s">
        <v>182</v>
      </c>
      <c r="E20" s="214" t="s">
        <v>165</v>
      </c>
      <c r="F20" s="223" t="s">
        <v>159</v>
      </c>
      <c r="G20" s="221"/>
      <c r="H20" s="224">
        <f>IFERROR(VLOOKUP(G20,[4]Sheet1!$A$15:$AE$43,29,0),0)</f>
        <v>0</v>
      </c>
    </row>
    <row r="21" spans="2:10" hidden="1" x14ac:dyDescent="0.25">
      <c r="B21" s="217" t="s">
        <v>180</v>
      </c>
      <c r="C21" s="222"/>
      <c r="D21" s="214" t="s">
        <v>183</v>
      </c>
      <c r="E21" s="214" t="s">
        <v>185</v>
      </c>
      <c r="F21" s="223" t="s">
        <v>159</v>
      </c>
      <c r="G21" s="221"/>
      <c r="H21" s="224">
        <f>IFERROR(VLOOKUP(G21,[4]Sheet1!$A$15:$AE$43,29,0),0)</f>
        <v>0</v>
      </c>
    </row>
    <row r="22" spans="2:10" hidden="1" x14ac:dyDescent="0.25">
      <c r="B22" s="217" t="s">
        <v>181</v>
      </c>
      <c r="C22" s="222"/>
      <c r="D22" s="214" t="s">
        <v>184</v>
      </c>
      <c r="E22" s="214" t="s">
        <v>165</v>
      </c>
      <c r="F22" s="223" t="s">
        <v>159</v>
      </c>
      <c r="G22" s="221"/>
      <c r="H22" s="224">
        <f>IFERROR(VLOOKUP(G22,[4]Sheet1!$A$15:$AE$43,29,0),0)</f>
        <v>0</v>
      </c>
    </row>
    <row r="23" spans="2:10" hidden="1" x14ac:dyDescent="0.25">
      <c r="B23" s="217" t="s">
        <v>187</v>
      </c>
      <c r="C23" s="222"/>
      <c r="D23" s="214" t="s">
        <v>188</v>
      </c>
      <c r="E23" s="214" t="s">
        <v>133</v>
      </c>
      <c r="F23" s="223" t="s">
        <v>159</v>
      </c>
      <c r="G23" s="221"/>
      <c r="H23" s="224">
        <f>IFERROR(VLOOKUP(G23,[4]Sheet1!$A$15:$AE$43,29,0),0)</f>
        <v>0</v>
      </c>
    </row>
    <row r="24" spans="2:10" hidden="1" x14ac:dyDescent="0.25">
      <c r="B24" s="217" t="s">
        <v>191</v>
      </c>
      <c r="C24" s="222"/>
      <c r="D24" s="214" t="s">
        <v>192</v>
      </c>
      <c r="E24" s="214" t="s">
        <v>126</v>
      </c>
      <c r="F24" s="223" t="s">
        <v>159</v>
      </c>
      <c r="G24" s="221"/>
      <c r="H24" s="224">
        <f>IFERROR(VLOOKUP(G24,[4]Sheet1!$A$15:$AE$43,29,0),0)</f>
        <v>0</v>
      </c>
    </row>
    <row r="25" spans="2:10" hidden="1" x14ac:dyDescent="0.25">
      <c r="B25" s="217" t="s">
        <v>194</v>
      </c>
      <c r="C25" s="222"/>
      <c r="D25" s="214" t="s">
        <v>197</v>
      </c>
      <c r="E25" s="214" t="s">
        <v>133</v>
      </c>
      <c r="F25" s="240" t="s">
        <v>159</v>
      </c>
      <c r="G25" s="221"/>
      <c r="H25" s="224">
        <f>IFERROR(VLOOKUP(G25,[4]Sheet1!$A$15:$AE$43,29,0),0)</f>
        <v>0</v>
      </c>
    </row>
    <row r="26" spans="2:10" hidden="1" x14ac:dyDescent="0.25">
      <c r="B26" s="217" t="s">
        <v>196</v>
      </c>
      <c r="C26" s="222"/>
      <c r="D26" s="214" t="s">
        <v>198</v>
      </c>
      <c r="E26" s="214" t="s">
        <v>199</v>
      </c>
      <c r="F26" s="223" t="s">
        <v>159</v>
      </c>
      <c r="G26" s="221"/>
      <c r="H26" s="224">
        <f>IFERROR(VLOOKUP(G26,[4]Sheet1!$A$15:$AE$43,29,0),0)</f>
        <v>0</v>
      </c>
    </row>
    <row r="27" spans="2:10" hidden="1" x14ac:dyDescent="0.25">
      <c r="B27" s="217" t="s">
        <v>201</v>
      </c>
      <c r="C27" s="222"/>
      <c r="D27" s="214" t="s">
        <v>202</v>
      </c>
      <c r="E27" s="214" t="s">
        <v>124</v>
      </c>
      <c r="F27" s="223" t="s">
        <v>159</v>
      </c>
      <c r="G27" s="221"/>
      <c r="H27" s="224">
        <f>IFERROR(VLOOKUP(G27,[4]Sheet1!$A$15:$AE$43,29,0),0)</f>
        <v>0</v>
      </c>
    </row>
    <row r="28" spans="2:10" hidden="1" x14ac:dyDescent="0.25">
      <c r="B28" s="217" t="s">
        <v>204</v>
      </c>
      <c r="C28" s="222"/>
      <c r="D28" s="214" t="s">
        <v>205</v>
      </c>
      <c r="E28" s="214" t="s">
        <v>199</v>
      </c>
      <c r="F28" s="240" t="s">
        <v>159</v>
      </c>
      <c r="G28" s="221"/>
      <c r="H28" s="224"/>
      <c r="J28" s="253"/>
    </row>
    <row r="29" spans="2:10" hidden="1" x14ac:dyDescent="0.25">
      <c r="B29" s="217" t="s">
        <v>207</v>
      </c>
      <c r="C29" s="222"/>
      <c r="D29" s="214" t="s">
        <v>208</v>
      </c>
      <c r="E29" s="214" t="s">
        <v>199</v>
      </c>
      <c r="F29" s="240" t="s">
        <v>159</v>
      </c>
      <c r="G29" s="221"/>
      <c r="H29" s="224">
        <f>IFERROR(VLOOKUP(G29,[5]Sheet1!$A$15:$AE$67,29,0),0)</f>
        <v>0</v>
      </c>
    </row>
    <row r="30" spans="2:10" hidden="1" x14ac:dyDescent="0.25">
      <c r="B30" s="217" t="s">
        <v>213</v>
      </c>
      <c r="C30" s="222"/>
      <c r="D30" s="214" t="s">
        <v>211</v>
      </c>
      <c r="E30" s="214" t="s">
        <v>145</v>
      </c>
      <c r="F30" s="240" t="s">
        <v>248</v>
      </c>
      <c r="G30" s="221"/>
      <c r="H30" s="224">
        <f>IFERROR(VLOOKUP(G30,[6]Sheet1!$A$15:$AE$27,29,0),0)</f>
        <v>0</v>
      </c>
    </row>
    <row r="31" spans="2:10" hidden="1" x14ac:dyDescent="0.25">
      <c r="B31" s="217" t="s">
        <v>214</v>
      </c>
      <c r="C31" s="222"/>
      <c r="D31" s="214" t="s">
        <v>212</v>
      </c>
      <c r="E31" s="214" t="s">
        <v>124</v>
      </c>
      <c r="F31" s="240" t="s">
        <v>159</v>
      </c>
      <c r="G31" s="221"/>
      <c r="H31" s="224">
        <f>IFERROR(VLOOKUP(G31,[6]Sheet1!$A$15:$AE$27,29,0),0)</f>
        <v>0</v>
      </c>
    </row>
    <row r="32" spans="2:10" hidden="1" x14ac:dyDescent="0.25">
      <c r="B32" s="217" t="s">
        <v>215</v>
      </c>
      <c r="C32" s="222"/>
      <c r="D32" s="214" t="s">
        <v>216</v>
      </c>
      <c r="E32" s="214" t="s">
        <v>185</v>
      </c>
      <c r="F32" s="240" t="s">
        <v>159</v>
      </c>
      <c r="G32" s="221"/>
      <c r="H32" s="224">
        <f>IFERROR(VLOOKUP(G32,[6]Sheet1!$A$15:$AE$27,29,0),0)</f>
        <v>0</v>
      </c>
    </row>
    <row r="33" spans="2:13" hidden="1" x14ac:dyDescent="0.25">
      <c r="B33" s="217" t="s">
        <v>217</v>
      </c>
      <c r="C33" s="222"/>
      <c r="D33" s="214" t="s">
        <v>221</v>
      </c>
      <c r="E33" s="214" t="s">
        <v>124</v>
      </c>
      <c r="F33" s="240" t="s">
        <v>159</v>
      </c>
      <c r="G33" s="221"/>
      <c r="H33" s="224">
        <f>IFERROR(VLOOKUP(G33,[6]Sheet1!$A$15:$AE$27,29,0),0)</f>
        <v>0</v>
      </c>
      <c r="J33" s="253"/>
    </row>
    <row r="34" spans="2:13" hidden="1" x14ac:dyDescent="0.25">
      <c r="B34" s="217" t="s">
        <v>219</v>
      </c>
      <c r="C34" s="222"/>
      <c r="D34" s="214" t="s">
        <v>222</v>
      </c>
      <c r="E34" s="214" t="s">
        <v>145</v>
      </c>
      <c r="F34" s="240" t="s">
        <v>159</v>
      </c>
      <c r="G34" s="221"/>
      <c r="H34" s="224">
        <f>IFERROR(VLOOKUP(G34,[6]Sheet1!$A$15:$AE$27,29,0),0)</f>
        <v>0</v>
      </c>
    </row>
    <row r="35" spans="2:13" hidden="1" x14ac:dyDescent="0.25">
      <c r="B35" s="217" t="s">
        <v>224</v>
      </c>
      <c r="C35" s="222"/>
      <c r="D35" s="214" t="s">
        <v>225</v>
      </c>
      <c r="E35" s="214" t="s">
        <v>165</v>
      </c>
      <c r="F35" s="240" t="s">
        <v>159</v>
      </c>
      <c r="G35" s="221"/>
      <c r="H35" s="224">
        <f>IFERROR(VLOOKUP(G35,[6]Sheet1!$A$15:$AE$27,29,0),0)</f>
        <v>0</v>
      </c>
    </row>
    <row r="36" spans="2:13" hidden="1" x14ac:dyDescent="0.25">
      <c r="B36" s="241" t="s">
        <v>227</v>
      </c>
      <c r="C36" s="222"/>
      <c r="D36" s="242" t="s">
        <v>231</v>
      </c>
      <c r="E36" s="242" t="s">
        <v>143</v>
      </c>
      <c r="F36" s="240" t="s">
        <v>159</v>
      </c>
      <c r="G36" s="221"/>
      <c r="H36" s="224">
        <f>IFERROR(VLOOKUP(G36,[6]Sheet1!$A$15:$AE$27,29,0),0)</f>
        <v>0</v>
      </c>
      <c r="L36" s="156">
        <v>201001001005</v>
      </c>
      <c r="M36" s="214" t="s">
        <v>115</v>
      </c>
    </row>
    <row r="37" spans="2:13" hidden="1" x14ac:dyDescent="0.25">
      <c r="B37" s="241" t="s">
        <v>228</v>
      </c>
      <c r="C37" s="222"/>
      <c r="D37" s="242" t="s">
        <v>230</v>
      </c>
      <c r="E37" s="242" t="s">
        <v>143</v>
      </c>
      <c r="F37" s="240" t="s">
        <v>159</v>
      </c>
      <c r="G37" s="221"/>
      <c r="H37" s="224">
        <f>IFERROR(VLOOKUP(G37,[6]Sheet1!$A$15:$AE$27,29,0),0)</f>
        <v>0</v>
      </c>
      <c r="L37" s="156">
        <v>401001001007</v>
      </c>
      <c r="M37" s="242" t="s">
        <v>254</v>
      </c>
    </row>
    <row r="38" spans="2:13" hidden="1" x14ac:dyDescent="0.25">
      <c r="B38" s="241" t="s">
        <v>232</v>
      </c>
      <c r="C38" s="222"/>
      <c r="D38" s="242" t="s">
        <v>233</v>
      </c>
      <c r="E38" s="242" t="s">
        <v>199</v>
      </c>
      <c r="F38" s="240" t="s">
        <v>159</v>
      </c>
      <c r="G38" s="221"/>
      <c r="H38" s="224">
        <f>IFERROR(VLOOKUP(G38,[6]Sheet1!$A$15:$AE$27,29,0),0)</f>
        <v>0</v>
      </c>
    </row>
    <row r="39" spans="2:13" hidden="1" x14ac:dyDescent="0.25">
      <c r="B39" s="241" t="s">
        <v>236</v>
      </c>
      <c r="C39" s="222">
        <v>0</v>
      </c>
      <c r="D39" s="242" t="s">
        <v>238</v>
      </c>
      <c r="E39" s="214" t="s">
        <v>133</v>
      </c>
      <c r="F39" s="240" t="s">
        <v>248</v>
      </c>
      <c r="G39" s="221"/>
      <c r="H39" s="224">
        <f>IFERROR(VLOOKUP(G39,[6]Sheet1!$A$15:$AE$27,29,0),0)</f>
        <v>0</v>
      </c>
    </row>
    <row r="40" spans="2:13" hidden="1" x14ac:dyDescent="0.25">
      <c r="B40" s="241" t="s">
        <v>237</v>
      </c>
      <c r="C40" s="222">
        <v>0</v>
      </c>
      <c r="D40" s="242" t="s">
        <v>239</v>
      </c>
      <c r="E40" s="242" t="s">
        <v>165</v>
      </c>
      <c r="F40" s="240" t="s">
        <v>248</v>
      </c>
      <c r="G40" s="221"/>
      <c r="H40" s="224">
        <f>IFERROR(VLOOKUP(G40,[6]Sheet1!$A$15:$AE$27,29,0),0)</f>
        <v>0</v>
      </c>
    </row>
    <row r="41" spans="2:13" hidden="1" x14ac:dyDescent="0.25">
      <c r="B41" s="241" t="s">
        <v>242</v>
      </c>
      <c r="C41" s="222">
        <v>0</v>
      </c>
      <c r="D41" s="242" t="s">
        <v>244</v>
      </c>
      <c r="E41" s="242" t="s">
        <v>124</v>
      </c>
      <c r="F41" s="240" t="s">
        <v>159</v>
      </c>
      <c r="G41" s="221"/>
      <c r="H41" s="224">
        <f>IFERROR(VLOOKUP(G41,[6]Sheet1!$A$15:$AE$27,29,0),0)</f>
        <v>0</v>
      </c>
    </row>
    <row r="42" spans="2:13" hidden="1" x14ac:dyDescent="0.25">
      <c r="B42" s="241" t="s">
        <v>243</v>
      </c>
      <c r="C42" s="222">
        <v>0</v>
      </c>
      <c r="D42" s="242" t="s">
        <v>245</v>
      </c>
      <c r="E42" s="242" t="s">
        <v>119</v>
      </c>
      <c r="F42" s="240" t="s">
        <v>159</v>
      </c>
      <c r="G42" s="221"/>
      <c r="H42" s="224">
        <f>IFERROR(VLOOKUP(G42,[6]Sheet1!$A$15:$AE$27,29,0),0)</f>
        <v>0</v>
      </c>
    </row>
    <row r="43" spans="2:13" hidden="1" x14ac:dyDescent="0.25">
      <c r="B43" s="241" t="s">
        <v>250</v>
      </c>
      <c r="C43" s="222">
        <v>0</v>
      </c>
      <c r="D43" s="242" t="s">
        <v>251</v>
      </c>
      <c r="E43" s="214" t="s">
        <v>145</v>
      </c>
      <c r="F43" s="240" t="s">
        <v>159</v>
      </c>
      <c r="G43" s="221"/>
      <c r="H43" s="224">
        <f>IFERROR(VLOOKUP(G43,[6]Sheet1!$A$15:$AE$27,29,0),0)</f>
        <v>0</v>
      </c>
    </row>
    <row r="44" spans="2:13" hidden="1" x14ac:dyDescent="0.25">
      <c r="B44" s="241" t="s">
        <v>252</v>
      </c>
      <c r="C44" s="222">
        <v>0</v>
      </c>
      <c r="D44" s="242" t="s">
        <v>253</v>
      </c>
      <c r="E44" s="242" t="s">
        <v>133</v>
      </c>
      <c r="F44" s="240" t="s">
        <v>159</v>
      </c>
      <c r="G44" s="221"/>
      <c r="H44" s="224">
        <f>IFERROR(VLOOKUP(G44,[6]Sheet1!$A$15:$AE$27,29,0),0)</f>
        <v>0</v>
      </c>
      <c r="J44" s="253"/>
    </row>
    <row r="45" spans="2:13" hidden="1" x14ac:dyDescent="0.25">
      <c r="B45" s="241" t="s">
        <v>256</v>
      </c>
      <c r="C45" s="222">
        <v>0</v>
      </c>
      <c r="D45" s="242" t="s">
        <v>258</v>
      </c>
      <c r="E45" s="242" t="s">
        <v>145</v>
      </c>
      <c r="F45" s="240" t="s">
        <v>159</v>
      </c>
      <c r="G45" s="221"/>
      <c r="H45" s="224">
        <f>IFERROR(VLOOKUP(G45,[6]Sheet1!$A$15:$AE$27,29,0),0)</f>
        <v>0</v>
      </c>
    </row>
    <row r="46" spans="2:13" hidden="1" x14ac:dyDescent="0.25">
      <c r="B46" s="241" t="s">
        <v>260</v>
      </c>
      <c r="C46" s="222">
        <v>0</v>
      </c>
      <c r="D46" s="242" t="s">
        <v>261</v>
      </c>
      <c r="E46" s="242" t="s">
        <v>133</v>
      </c>
      <c r="F46" s="240" t="s">
        <v>159</v>
      </c>
      <c r="G46" s="221"/>
      <c r="H46" s="224">
        <f>IFERROR(VLOOKUP(G46,[6]Sheet1!$A$15:$AE$27,29,0),0)</f>
        <v>0</v>
      </c>
      <c r="J46" s="238"/>
    </row>
    <row r="47" spans="2:13" hidden="1" x14ac:dyDescent="0.25">
      <c r="B47" s="241" t="s">
        <v>263</v>
      </c>
      <c r="C47" s="222">
        <v>0</v>
      </c>
      <c r="D47" s="242" t="s">
        <v>264</v>
      </c>
      <c r="E47" s="242" t="s">
        <v>185</v>
      </c>
      <c r="F47" s="240" t="s">
        <v>159</v>
      </c>
      <c r="G47" s="221"/>
      <c r="H47" s="224">
        <f>IFERROR(VLOOKUP(G47,[6]Sheet1!$A$15:$AE$27,29,0),0)</f>
        <v>0</v>
      </c>
    </row>
    <row r="48" spans="2:13" hidden="1" x14ac:dyDescent="0.25">
      <c r="B48" s="241" t="s">
        <v>266</v>
      </c>
      <c r="C48" s="222">
        <v>0</v>
      </c>
      <c r="D48" s="242" t="str">
        <f>+"Folio "&amp;G48</f>
        <v xml:space="preserve">Folio </v>
      </c>
      <c r="E48" s="242" t="s">
        <v>199</v>
      </c>
      <c r="F48" s="240" t="s">
        <v>159</v>
      </c>
      <c r="G48" s="221"/>
      <c r="H48" s="224">
        <f>IFERROR(VLOOKUP(G48,[6]Sheet1!$A$15:$AE$27,29,0),0)</f>
        <v>0</v>
      </c>
    </row>
    <row r="49" spans="2:12" hidden="1" x14ac:dyDescent="0.25">
      <c r="B49" s="241" t="s">
        <v>267</v>
      </c>
      <c r="C49" s="222">
        <v>0</v>
      </c>
      <c r="D49" s="242" t="str">
        <f>+"Folio "&amp;G49</f>
        <v xml:space="preserve">Folio </v>
      </c>
      <c r="E49" s="242" t="s">
        <v>133</v>
      </c>
      <c r="F49" s="240" t="s">
        <v>159</v>
      </c>
      <c r="G49" s="221"/>
      <c r="H49" s="224">
        <f>IFERROR(VLOOKUP(G49,[6]Sheet1!$A$15:$AE$27,29,0),0)</f>
        <v>0</v>
      </c>
    </row>
    <row r="50" spans="2:12" hidden="1" x14ac:dyDescent="0.25">
      <c r="B50" s="241" t="s">
        <v>268</v>
      </c>
      <c r="C50" s="222">
        <v>0</v>
      </c>
      <c r="D50" s="242" t="str">
        <f>+"Folio "&amp;G50</f>
        <v xml:space="preserve">Folio </v>
      </c>
      <c r="E50" s="214" t="s">
        <v>145</v>
      </c>
      <c r="F50" s="240" t="s">
        <v>159</v>
      </c>
      <c r="G50" s="221"/>
      <c r="H50" s="224">
        <f>IFERROR(VLOOKUP(G50,[6]Sheet1!$A$15:$AE$27,29,0),0)</f>
        <v>0</v>
      </c>
    </row>
    <row r="51" spans="2:12" hidden="1" x14ac:dyDescent="0.25">
      <c r="B51" s="241" t="s">
        <v>269</v>
      </c>
      <c r="C51" s="222">
        <v>0</v>
      </c>
      <c r="D51" s="242" t="str">
        <f t="shared" ref="D51:D63" si="0">+"Folio "&amp;G51</f>
        <v xml:space="preserve">Folio </v>
      </c>
      <c r="E51" s="242" t="s">
        <v>153</v>
      </c>
      <c r="F51" s="240" t="s">
        <v>159</v>
      </c>
      <c r="G51" s="221"/>
      <c r="H51" s="224">
        <f>IFERROR(VLOOKUP(G51,[6]Sheet1!$A$15:$AE$27,29,0),0)</f>
        <v>0</v>
      </c>
    </row>
    <row r="52" spans="2:12" hidden="1" x14ac:dyDescent="0.25">
      <c r="B52" s="241" t="s">
        <v>270</v>
      </c>
      <c r="C52" s="222">
        <v>0</v>
      </c>
      <c r="D52" s="242" t="str">
        <f t="shared" si="0"/>
        <v xml:space="preserve">Folio </v>
      </c>
      <c r="E52" s="242" t="s">
        <v>133</v>
      </c>
      <c r="F52" s="240" t="s">
        <v>159</v>
      </c>
      <c r="G52" s="221"/>
      <c r="H52" s="224">
        <f>IFERROR(VLOOKUP(G52,[6]Sheet1!$A$15:$AE$27,29,0),0)</f>
        <v>0</v>
      </c>
    </row>
    <row r="53" spans="2:12" hidden="1" x14ac:dyDescent="0.25">
      <c r="B53" s="241" t="s">
        <v>271</v>
      </c>
      <c r="C53" s="222">
        <v>0</v>
      </c>
      <c r="D53" s="242" t="str">
        <f t="shared" si="0"/>
        <v xml:space="preserve">Folio </v>
      </c>
      <c r="E53" s="242" t="s">
        <v>153</v>
      </c>
      <c r="F53" s="240" t="s">
        <v>159</v>
      </c>
      <c r="G53" s="221"/>
      <c r="H53" s="224">
        <f>IFERROR(VLOOKUP(G53,[6]Sheet1!$A$15:$AE$27,29,0),0)</f>
        <v>0</v>
      </c>
    </row>
    <row r="54" spans="2:12" hidden="1" x14ac:dyDescent="0.25">
      <c r="B54" s="241" t="s">
        <v>272</v>
      </c>
      <c r="C54" s="222">
        <v>0</v>
      </c>
      <c r="D54" s="242" t="str">
        <f t="shared" si="0"/>
        <v xml:space="preserve">Folio </v>
      </c>
      <c r="E54" s="242" t="s">
        <v>133</v>
      </c>
      <c r="F54" s="240" t="s">
        <v>159</v>
      </c>
      <c r="G54" s="221"/>
      <c r="H54" s="224">
        <f>IFERROR(VLOOKUP(G54,[6]Sheet1!$A$15:$AE$27,29,0),0)</f>
        <v>0</v>
      </c>
    </row>
    <row r="55" spans="2:12" hidden="1" x14ac:dyDescent="0.25">
      <c r="B55" s="241" t="s">
        <v>273</v>
      </c>
      <c r="C55" s="222">
        <v>0</v>
      </c>
      <c r="D55" s="242" t="str">
        <f t="shared" si="0"/>
        <v xml:space="preserve">Folio </v>
      </c>
      <c r="E55" s="242" t="s">
        <v>133</v>
      </c>
      <c r="F55" s="240" t="s">
        <v>159</v>
      </c>
      <c r="G55" s="221"/>
      <c r="H55" s="224">
        <f>IFERROR(VLOOKUP(G55,[6]Sheet1!$A$15:$AE$27,29,0),0)</f>
        <v>0</v>
      </c>
    </row>
    <row r="56" spans="2:12" hidden="1" x14ac:dyDescent="0.25">
      <c r="B56" s="241" t="s">
        <v>275</v>
      </c>
      <c r="C56" s="222"/>
      <c r="D56" s="242" t="str">
        <f t="shared" si="0"/>
        <v xml:space="preserve">Folio </v>
      </c>
      <c r="E56" s="242" t="s">
        <v>133</v>
      </c>
      <c r="F56" s="240" t="s">
        <v>159</v>
      </c>
      <c r="G56" s="221"/>
      <c r="H56" s="224">
        <f>IFERROR(VLOOKUP(G56,[6]Sheet1!$A$15:$AE$27,29,0),0)</f>
        <v>0</v>
      </c>
    </row>
    <row r="57" spans="2:12" hidden="1" x14ac:dyDescent="0.25">
      <c r="B57" s="241" t="s">
        <v>276</v>
      </c>
      <c r="C57" s="222"/>
      <c r="D57" s="242" t="str">
        <f t="shared" si="0"/>
        <v xml:space="preserve">Folio </v>
      </c>
      <c r="E57" s="242" t="s">
        <v>153</v>
      </c>
      <c r="F57" s="240" t="s">
        <v>159</v>
      </c>
      <c r="G57" s="221"/>
      <c r="H57" s="224">
        <f>IFERROR(VLOOKUP(G57,[7]Sheet1!$A$15:$AE$27,29,0),0)</f>
        <v>0</v>
      </c>
    </row>
    <row r="58" spans="2:12" hidden="1" x14ac:dyDescent="0.25">
      <c r="B58" s="241" t="s">
        <v>281</v>
      </c>
      <c r="C58" s="222"/>
      <c r="D58" s="242" t="str">
        <f t="shared" si="0"/>
        <v xml:space="preserve">Folio </v>
      </c>
      <c r="E58" s="242" t="s">
        <v>133</v>
      </c>
      <c r="F58" s="240" t="s">
        <v>159</v>
      </c>
      <c r="G58" s="221"/>
      <c r="H58" s="224"/>
    </row>
    <row r="59" spans="2:12" hidden="1" x14ac:dyDescent="0.25">
      <c r="B59" s="241" t="s">
        <v>282</v>
      </c>
      <c r="C59" s="222"/>
      <c r="D59" s="242" t="str">
        <f t="shared" si="0"/>
        <v xml:space="preserve">Folio </v>
      </c>
      <c r="E59" s="242" t="s">
        <v>124</v>
      </c>
      <c r="F59" s="240" t="s">
        <v>159</v>
      </c>
      <c r="G59" s="221"/>
      <c r="H59" s="224"/>
    </row>
    <row r="60" spans="2:12" hidden="1" x14ac:dyDescent="0.25">
      <c r="B60" s="241" t="s">
        <v>285</v>
      </c>
      <c r="C60" s="222"/>
      <c r="D60" s="242" t="str">
        <f t="shared" si="0"/>
        <v xml:space="preserve">Folio </v>
      </c>
      <c r="E60" s="242" t="s">
        <v>124</v>
      </c>
      <c r="F60" s="240" t="s">
        <v>159</v>
      </c>
      <c r="G60" s="221"/>
      <c r="H60" s="224"/>
      <c r="L60" s="238">
        <f>+K60-K4</f>
        <v>0</v>
      </c>
    </row>
    <row r="61" spans="2:12" hidden="1" x14ac:dyDescent="0.25">
      <c r="B61" s="241" t="s">
        <v>286</v>
      </c>
      <c r="C61" s="222"/>
      <c r="D61" s="242" t="str">
        <f t="shared" si="0"/>
        <v xml:space="preserve">Folio </v>
      </c>
      <c r="E61" s="214" t="s">
        <v>145</v>
      </c>
      <c r="F61" s="240" t="s">
        <v>159</v>
      </c>
      <c r="G61" s="221"/>
      <c r="H61" s="224"/>
    </row>
    <row r="62" spans="2:12" hidden="1" x14ac:dyDescent="0.25">
      <c r="B62" s="241" t="s">
        <v>288</v>
      </c>
      <c r="C62" s="222"/>
      <c r="D62" s="242" t="str">
        <f t="shared" si="0"/>
        <v xml:space="preserve">Folio </v>
      </c>
      <c r="E62" s="242" t="s">
        <v>126</v>
      </c>
      <c r="F62" s="240" t="s">
        <v>159</v>
      </c>
      <c r="G62" s="221"/>
      <c r="H62" s="224"/>
    </row>
    <row r="63" spans="2:12" hidden="1" x14ac:dyDescent="0.25">
      <c r="B63" s="241" t="s">
        <v>256</v>
      </c>
      <c r="C63" s="222"/>
      <c r="D63" s="242" t="str">
        <f t="shared" si="0"/>
        <v xml:space="preserve">Folio </v>
      </c>
      <c r="E63" s="242" t="s">
        <v>124</v>
      </c>
      <c r="F63" s="240" t="s">
        <v>159</v>
      </c>
      <c r="G63" s="221"/>
      <c r="H63" s="224"/>
    </row>
    <row r="64" spans="2:12" hidden="1" x14ac:dyDescent="0.25">
      <c r="B64" s="241" t="s">
        <v>191</v>
      </c>
      <c r="C64" s="222"/>
      <c r="D64" s="242" t="str">
        <f t="shared" ref="D64:D76" si="1">+"Folio "&amp;G64</f>
        <v xml:space="preserve">Folio </v>
      </c>
      <c r="E64" s="242" t="s">
        <v>199</v>
      </c>
      <c r="F64" s="240" t="s">
        <v>159</v>
      </c>
      <c r="G64" s="221"/>
      <c r="H64" s="224"/>
    </row>
    <row r="65" spans="2:10" hidden="1" x14ac:dyDescent="0.25">
      <c r="B65" s="241" t="s">
        <v>217</v>
      </c>
      <c r="C65" s="222"/>
      <c r="D65" s="242" t="str">
        <f t="shared" si="1"/>
        <v xml:space="preserve">Folio </v>
      </c>
      <c r="E65" s="242" t="s">
        <v>124</v>
      </c>
      <c r="F65" s="240" t="s">
        <v>159</v>
      </c>
      <c r="G65" s="221"/>
      <c r="H65" s="224"/>
      <c r="J65" s="242" t="s">
        <v>295</v>
      </c>
    </row>
    <row r="66" spans="2:10" hidden="1" x14ac:dyDescent="0.25">
      <c r="B66" s="241" t="s">
        <v>236</v>
      </c>
      <c r="C66" s="222"/>
      <c r="D66" s="242" t="str">
        <f t="shared" si="1"/>
        <v xml:space="preserve">Folio </v>
      </c>
      <c r="E66" s="242" t="s">
        <v>119</v>
      </c>
      <c r="F66" s="240" t="s">
        <v>159</v>
      </c>
      <c r="G66" s="221"/>
      <c r="H66" s="224"/>
    </row>
    <row r="67" spans="2:10" hidden="1" x14ac:dyDescent="0.25">
      <c r="B67" s="241" t="s">
        <v>237</v>
      </c>
      <c r="C67" s="222"/>
      <c r="D67" s="242" t="str">
        <f t="shared" si="1"/>
        <v xml:space="preserve">Folio </v>
      </c>
      <c r="E67" s="242" t="s">
        <v>133</v>
      </c>
      <c r="F67" s="240" t="s">
        <v>159</v>
      </c>
      <c r="G67" s="221"/>
      <c r="H67" s="224"/>
    </row>
    <row r="68" spans="2:10" x14ac:dyDescent="0.25">
      <c r="B68" s="241" t="s">
        <v>242</v>
      </c>
      <c r="C68" s="222">
        <v>1425159.4794000001</v>
      </c>
      <c r="D68" s="242" t="str">
        <f t="shared" si="1"/>
        <v>Folio 80982</v>
      </c>
      <c r="E68" s="242" t="s">
        <v>133</v>
      </c>
      <c r="F68" s="240">
        <v>43231</v>
      </c>
      <c r="G68" s="221">
        <v>80982</v>
      </c>
      <c r="H68" s="224">
        <f>IFERROR(VLOOKUP(G68,[8]Sheet1!$A$15:$AE$31,29,0),0)</f>
        <v>1425159.4794000001</v>
      </c>
      <c r="I68" s="231">
        <v>2519588.0891999998</v>
      </c>
      <c r="J68" s="231"/>
    </row>
    <row r="69" spans="2:10" hidden="1" x14ac:dyDescent="0.25">
      <c r="B69" s="241" t="s">
        <v>243</v>
      </c>
      <c r="C69" s="222">
        <v>0</v>
      </c>
      <c r="D69" s="242" t="str">
        <f t="shared" si="1"/>
        <v xml:space="preserve">Folio </v>
      </c>
      <c r="E69" s="242" t="s">
        <v>153</v>
      </c>
      <c r="F69" s="240" t="s">
        <v>159</v>
      </c>
      <c r="G69" s="221"/>
      <c r="H69" s="224">
        <f>IFERROR(VLOOKUP(G69,[8]Sheet1!$A$15:$AE$31,29,0),0)</f>
        <v>0</v>
      </c>
    </row>
    <row r="70" spans="2:10" hidden="1" x14ac:dyDescent="0.25">
      <c r="B70" s="241" t="s">
        <v>250</v>
      </c>
      <c r="C70" s="222">
        <v>0</v>
      </c>
      <c r="D70" s="242" t="str">
        <f t="shared" si="1"/>
        <v xml:space="preserve">Folio </v>
      </c>
      <c r="E70" s="242" t="s">
        <v>143</v>
      </c>
      <c r="F70" s="240" t="s">
        <v>159</v>
      </c>
      <c r="G70" s="221"/>
      <c r="H70" s="224">
        <f>IFERROR(VLOOKUP(G70,[8]Sheet1!$A$15:$AE$31,29,0),0)</f>
        <v>0</v>
      </c>
      <c r="I70" s="248">
        <v>3361666.0728000002</v>
      </c>
      <c r="J70" s="231"/>
    </row>
    <row r="71" spans="2:10" x14ac:dyDescent="0.25">
      <c r="B71" s="241" t="s">
        <v>252</v>
      </c>
      <c r="C71" s="222">
        <v>949505.55400000012</v>
      </c>
      <c r="D71" s="242" t="str">
        <f t="shared" si="1"/>
        <v>Folio 80806</v>
      </c>
      <c r="E71" s="242" t="s">
        <v>126</v>
      </c>
      <c r="F71" s="240">
        <v>43259</v>
      </c>
      <c r="G71" s="221">
        <v>80806</v>
      </c>
      <c r="H71" s="224">
        <f>IFERROR(VLOOKUP(G71,[8]Sheet1!$A$15:$AE$31,29,0),0)</f>
        <v>949505.55400000012</v>
      </c>
      <c r="I71" s="248">
        <v>3027102.4191000001</v>
      </c>
      <c r="J71" s="231"/>
    </row>
    <row r="72" spans="2:10" hidden="1" x14ac:dyDescent="0.25">
      <c r="B72" s="241" t="s">
        <v>256</v>
      </c>
      <c r="C72" s="222">
        <v>0</v>
      </c>
      <c r="D72" s="242" t="str">
        <f t="shared" si="1"/>
        <v xml:space="preserve">Folio </v>
      </c>
      <c r="E72" s="242" t="s">
        <v>126</v>
      </c>
      <c r="F72" s="240" t="s">
        <v>159</v>
      </c>
      <c r="G72" s="221"/>
      <c r="H72" s="224">
        <f>IFERROR(VLOOKUP(G72,[8]Sheet1!$A$15:$AE$31,29,0),0)</f>
        <v>0</v>
      </c>
      <c r="I72" s="242"/>
      <c r="J72" s="231"/>
    </row>
    <row r="73" spans="2:10" x14ac:dyDescent="0.25">
      <c r="B73" s="241" t="s">
        <v>260</v>
      </c>
      <c r="C73" s="222">
        <v>2530860.9139</v>
      </c>
      <c r="D73" s="242" t="str">
        <f t="shared" si="1"/>
        <v>Folio 80477</v>
      </c>
      <c r="E73" s="242" t="s">
        <v>126</v>
      </c>
      <c r="F73" s="240">
        <v>43264</v>
      </c>
      <c r="G73" s="221">
        <v>80477</v>
      </c>
      <c r="H73" s="224">
        <f>IFERROR(VLOOKUP(G73,[8]Sheet1!$A$15:$AE$31,29,0),0)</f>
        <v>2530860.9139</v>
      </c>
      <c r="I73" s="248">
        <v>2680601.7798000001</v>
      </c>
      <c r="J73" s="231"/>
    </row>
    <row r="74" spans="2:10" hidden="1" x14ac:dyDescent="0.25">
      <c r="B74" s="241" t="s">
        <v>263</v>
      </c>
      <c r="C74" s="222">
        <v>0</v>
      </c>
      <c r="D74" s="242" t="str">
        <f t="shared" si="1"/>
        <v xml:space="preserve">Folio </v>
      </c>
      <c r="E74" s="242" t="s">
        <v>126</v>
      </c>
      <c r="F74" s="240">
        <v>43227</v>
      </c>
      <c r="G74" s="221"/>
      <c r="H74" s="224">
        <f>IFERROR(VLOOKUP(G74,[8]Sheet1!$A$15:$AE$31,29,0),0)</f>
        <v>0</v>
      </c>
      <c r="I74" s="248">
        <v>754164.59569999995</v>
      </c>
      <c r="J74" s="231"/>
    </row>
    <row r="75" spans="2:10" x14ac:dyDescent="0.25">
      <c r="B75" s="241" t="s">
        <v>267</v>
      </c>
      <c r="C75" s="222">
        <v>2614132.9851000002</v>
      </c>
      <c r="D75" s="242" t="str">
        <f t="shared" si="1"/>
        <v>Folio 80718</v>
      </c>
      <c r="E75" s="242" t="s">
        <v>126</v>
      </c>
      <c r="F75" s="240">
        <v>43244</v>
      </c>
      <c r="G75" s="221">
        <v>80718</v>
      </c>
      <c r="H75" s="224">
        <f>IFERROR(VLOOKUP(G75,[8]Sheet1!$A$15:$AE$31,29,0),0)</f>
        <v>2614132.9851000002</v>
      </c>
      <c r="I75" s="248">
        <v>2769537.4616999999</v>
      </c>
      <c r="J75" s="231"/>
    </row>
    <row r="76" spans="2:10" x14ac:dyDescent="0.25">
      <c r="B76" s="241" t="s">
        <v>268</v>
      </c>
      <c r="C76" s="222">
        <v>711972.7844</v>
      </c>
      <c r="D76" s="242" t="str">
        <f t="shared" si="1"/>
        <v>Folio 80585</v>
      </c>
      <c r="E76" s="242" t="s">
        <v>145</v>
      </c>
      <c r="F76" s="240">
        <v>43262</v>
      </c>
      <c r="G76" s="221">
        <v>80585</v>
      </c>
      <c r="H76" s="224">
        <f>IFERROR(VLOOKUP(G76,[8]Sheet1!$A$15:$AE$31,29,0),0)</f>
        <v>711972.7844</v>
      </c>
      <c r="I76" s="248"/>
      <c r="J76" s="231"/>
    </row>
    <row r="77" spans="2:10" x14ac:dyDescent="0.25">
      <c r="B77" s="241" t="s">
        <v>269</v>
      </c>
      <c r="C77" s="222">
        <v>2810271.6827999996</v>
      </c>
      <c r="D77" s="242" t="str">
        <f t="shared" ref="D77:D80" si="2">+"Folio "&amp;G77</f>
        <v>Folio 80837</v>
      </c>
      <c r="E77" s="242" t="s">
        <v>145</v>
      </c>
      <c r="F77" s="240">
        <v>43256</v>
      </c>
      <c r="G77" s="221">
        <v>80837</v>
      </c>
      <c r="H77" s="224">
        <f>IFERROR(VLOOKUP(G77,[8]Sheet1!$A$15:$AE$31,29,0),0)</f>
        <v>2810271.6827999996</v>
      </c>
      <c r="I77" s="248"/>
      <c r="J77" s="231"/>
    </row>
    <row r="78" spans="2:10" x14ac:dyDescent="0.25">
      <c r="B78" s="241" t="s">
        <v>270</v>
      </c>
      <c r="C78" s="222">
        <v>1741739.7818</v>
      </c>
      <c r="D78" s="242" t="str">
        <f t="shared" si="2"/>
        <v>Folio 80851</v>
      </c>
      <c r="E78" s="242" t="s">
        <v>145</v>
      </c>
      <c r="F78" s="240"/>
      <c r="G78" s="221">
        <v>80851</v>
      </c>
      <c r="H78" s="224">
        <f>IFERROR(VLOOKUP(G78,[8]Sheet1!$A$15:$AE$31,29,0),0)</f>
        <v>1741739.7818</v>
      </c>
      <c r="I78" s="248"/>
      <c r="J78" s="231"/>
    </row>
    <row r="79" spans="2:10" x14ac:dyDescent="0.25">
      <c r="B79" s="241" t="s">
        <v>271</v>
      </c>
      <c r="C79" s="222">
        <v>1583478.8933000001</v>
      </c>
      <c r="D79" s="242" t="str">
        <f t="shared" si="2"/>
        <v>Folio 80946</v>
      </c>
      <c r="E79" s="242" t="s">
        <v>145</v>
      </c>
      <c r="F79" s="240"/>
      <c r="G79" s="221">
        <v>80946</v>
      </c>
      <c r="H79" s="224">
        <f>IFERROR(VLOOKUP(G79,[8]Sheet1!$A$15:$AE$31,29,0),0)</f>
        <v>1583478.8933000001</v>
      </c>
      <c r="I79" s="248"/>
      <c r="J79" s="231"/>
    </row>
    <row r="80" spans="2:10" x14ac:dyDescent="0.25">
      <c r="B80" s="241" t="s">
        <v>272</v>
      </c>
      <c r="C80" s="222">
        <v>1424760.9361000003</v>
      </c>
      <c r="D80" s="242" t="str">
        <f t="shared" si="2"/>
        <v>Folio 80994</v>
      </c>
      <c r="E80" s="242"/>
      <c r="F80" s="240"/>
      <c r="G80" s="221">
        <v>80994</v>
      </c>
      <c r="H80" s="224">
        <f>IFERROR(VLOOKUP(G80,[8]Sheet1!$A$15:$AE$31,29,0),0)</f>
        <v>1424760.9361000003</v>
      </c>
      <c r="I80" s="248"/>
      <c r="J80" s="231"/>
    </row>
    <row r="81" spans="2:12" x14ac:dyDescent="0.25">
      <c r="B81" s="217" t="s">
        <v>68</v>
      </c>
      <c r="C81" s="225">
        <f>+'FWD MoneyMarket'!J2</f>
        <v>456165.10033959523</v>
      </c>
      <c r="D81" s="214" t="s">
        <v>53</v>
      </c>
      <c r="F81" s="229">
        <f>+C81+C83</f>
        <v>455233.22158010863</v>
      </c>
      <c r="G81" s="251"/>
      <c r="H81" s="333">
        <f>SUM(H68:H80)</f>
        <v>15791883.0108</v>
      </c>
      <c r="I81" s="264">
        <v>455233.22</v>
      </c>
      <c r="J81" s="231"/>
      <c r="K81" s="267">
        <f>+I81-F81</f>
        <v>-1.580108655616641E-3</v>
      </c>
    </row>
    <row r="82" spans="2:12" x14ac:dyDescent="0.25">
      <c r="B82" s="227" t="s">
        <v>45</v>
      </c>
      <c r="C82" s="228">
        <f>SUM(C13:C81)</f>
        <v>16248048.111139596</v>
      </c>
      <c r="D82" s="234"/>
      <c r="F82" s="231"/>
      <c r="G82" s="251"/>
      <c r="H82" s="333">
        <v>15791883.0108</v>
      </c>
    </row>
    <row r="83" spans="2:12" x14ac:dyDescent="0.25">
      <c r="B83" s="232" t="s">
        <v>46</v>
      </c>
      <c r="C83" s="233">
        <f>+'Sintetico MoneyMarket'!A542-'R° Sintetico MM'!C82</f>
        <v>-931.87875948660076</v>
      </c>
      <c r="D83" s="231"/>
      <c r="F83" s="231"/>
      <c r="G83" s="237"/>
      <c r="H83" s="327">
        <f>+H82-H81</f>
        <v>0</v>
      </c>
    </row>
    <row r="84" spans="2:12" x14ac:dyDescent="0.25">
      <c r="C84" s="235"/>
      <c r="D84" s="231"/>
      <c r="F84" s="231"/>
      <c r="G84" s="226"/>
      <c r="H84" s="226"/>
      <c r="L84" s="214">
        <v>501147.41267337103</v>
      </c>
    </row>
    <row r="85" spans="2:12" x14ac:dyDescent="0.25">
      <c r="C85" s="235"/>
      <c r="G85" s="226"/>
      <c r="H85" s="226"/>
    </row>
    <row r="86" spans="2:12" x14ac:dyDescent="0.25">
      <c r="B86" s="215" t="str">
        <f ca="1">PROPER((TEXT(C86,"DDDD")))</f>
        <v>Sábado</v>
      </c>
      <c r="C86" s="216">
        <f ca="1">TODAY()+1</f>
        <v>43239</v>
      </c>
      <c r="G86" s="346" t="s">
        <v>155</v>
      </c>
      <c r="H86" s="346"/>
    </row>
    <row r="87" spans="2:12" hidden="1" x14ac:dyDescent="0.25">
      <c r="B87" s="217" t="s">
        <v>44</v>
      </c>
      <c r="C87" s="222"/>
      <c r="D87" s="219" t="s">
        <v>112</v>
      </c>
      <c r="E87" s="219" t="s">
        <v>113</v>
      </c>
      <c r="F87" s="220" t="s">
        <v>159</v>
      </c>
      <c r="G87" s="221"/>
      <c r="H87" s="221"/>
    </row>
    <row r="88" spans="2:12" hidden="1" x14ac:dyDescent="0.25">
      <c r="B88" s="217" t="s">
        <v>47</v>
      </c>
      <c r="C88" s="222"/>
      <c r="D88" s="214" t="s">
        <v>118</v>
      </c>
      <c r="E88" s="214" t="s">
        <v>119</v>
      </c>
      <c r="F88" s="220" t="s">
        <v>159</v>
      </c>
      <c r="G88" s="221"/>
      <c r="H88" s="221"/>
    </row>
    <row r="89" spans="2:12" hidden="1" x14ac:dyDescent="0.25">
      <c r="B89" s="217" t="s">
        <v>48</v>
      </c>
      <c r="C89" s="222"/>
      <c r="D89" s="214" t="s">
        <v>123</v>
      </c>
      <c r="E89" s="214" t="s">
        <v>124</v>
      </c>
      <c r="F89" s="220" t="s">
        <v>159</v>
      </c>
      <c r="G89" s="221"/>
      <c r="H89" s="221"/>
    </row>
    <row r="90" spans="2:12" hidden="1" x14ac:dyDescent="0.25">
      <c r="B90" s="217" t="s">
        <v>73</v>
      </c>
      <c r="C90" s="222"/>
      <c r="D90" s="219" t="s">
        <v>125</v>
      </c>
      <c r="E90" s="219" t="s">
        <v>126</v>
      </c>
      <c r="F90" s="220" t="s">
        <v>159</v>
      </c>
      <c r="G90" s="221"/>
      <c r="H90" s="221"/>
    </row>
    <row r="91" spans="2:12" hidden="1" x14ac:dyDescent="0.25">
      <c r="B91" s="217" t="s">
        <v>75</v>
      </c>
      <c r="C91" s="222"/>
      <c r="D91" s="214" t="s">
        <v>132</v>
      </c>
      <c r="E91" s="214" t="s">
        <v>133</v>
      </c>
      <c r="F91" s="220" t="s">
        <v>159</v>
      </c>
      <c r="G91" s="221"/>
      <c r="H91" s="221"/>
    </row>
    <row r="92" spans="2:12" hidden="1" x14ac:dyDescent="0.25">
      <c r="B92" s="217" t="s">
        <v>128</v>
      </c>
      <c r="C92" s="222"/>
      <c r="D92" s="219" t="s">
        <v>130</v>
      </c>
      <c r="E92" s="219" t="s">
        <v>131</v>
      </c>
      <c r="F92" s="220" t="s">
        <v>159</v>
      </c>
      <c r="G92" s="221"/>
      <c r="H92" s="221"/>
    </row>
    <row r="93" spans="2:12" hidden="1" x14ac:dyDescent="0.25">
      <c r="B93" s="217" t="s">
        <v>134</v>
      </c>
      <c r="C93" s="222"/>
      <c r="D93" s="214" t="s">
        <v>137</v>
      </c>
      <c r="E93" s="214" t="s">
        <v>133</v>
      </c>
      <c r="F93" s="220" t="s">
        <v>159</v>
      </c>
      <c r="G93" s="221"/>
      <c r="H93" s="221"/>
    </row>
    <row r="94" spans="2:12" hidden="1" x14ac:dyDescent="0.25">
      <c r="B94" s="217" t="s">
        <v>139</v>
      </c>
      <c r="C94" s="222"/>
      <c r="D94" s="219" t="s">
        <v>142</v>
      </c>
      <c r="E94" s="219" t="s">
        <v>143</v>
      </c>
      <c r="F94" s="220" t="s">
        <v>159</v>
      </c>
      <c r="G94" s="221"/>
      <c r="H94" s="221"/>
    </row>
    <row r="95" spans="2:12" hidden="1" x14ac:dyDescent="0.25">
      <c r="B95" s="217" t="s">
        <v>140</v>
      </c>
      <c r="C95" s="222"/>
      <c r="D95" s="214" t="s">
        <v>144</v>
      </c>
      <c r="E95" s="214" t="s">
        <v>145</v>
      </c>
      <c r="F95" s="223" t="s">
        <v>146</v>
      </c>
      <c r="G95" s="221"/>
      <c r="H95" s="224"/>
    </row>
    <row r="96" spans="2:12" hidden="1" x14ac:dyDescent="0.25">
      <c r="B96" s="217" t="s">
        <v>151</v>
      </c>
      <c r="C96" s="222"/>
      <c r="D96" s="214" t="s">
        <v>152</v>
      </c>
      <c r="E96" s="214" t="s">
        <v>153</v>
      </c>
      <c r="F96" s="223" t="s">
        <v>154</v>
      </c>
      <c r="G96" s="221"/>
      <c r="H96" s="224"/>
    </row>
    <row r="97" spans="2:8" hidden="1" x14ac:dyDescent="0.25">
      <c r="B97" s="217" t="s">
        <v>161</v>
      </c>
      <c r="C97" s="222"/>
      <c r="D97" s="214" t="s">
        <v>163</v>
      </c>
      <c r="E97" s="214" t="s">
        <v>145</v>
      </c>
      <c r="F97" s="223" t="s">
        <v>159</v>
      </c>
      <c r="G97" s="221"/>
      <c r="H97" s="224">
        <f>IFERROR(VLOOKUP(G97,[9]Sheet1!$A$15:$AE$37,29,0),0)</f>
        <v>0</v>
      </c>
    </row>
    <row r="98" spans="2:8" hidden="1" x14ac:dyDescent="0.25">
      <c r="B98" s="217" t="s">
        <v>162</v>
      </c>
      <c r="C98" s="222"/>
      <c r="D98" s="214" t="s">
        <v>164</v>
      </c>
      <c r="E98" s="214" t="s">
        <v>165</v>
      </c>
      <c r="F98" s="223" t="s">
        <v>159</v>
      </c>
      <c r="G98" s="221"/>
      <c r="H98" s="224">
        <f>IFERROR(VLOOKUP(G98,[9]Sheet1!$A$15:$AE$37,29,0),0)</f>
        <v>0</v>
      </c>
    </row>
    <row r="99" spans="2:8" hidden="1" x14ac:dyDescent="0.25">
      <c r="B99" s="217" t="s">
        <v>167</v>
      </c>
      <c r="C99" s="222"/>
      <c r="D99" s="214" t="s">
        <v>170</v>
      </c>
      <c r="E99" s="214" t="s">
        <v>153</v>
      </c>
      <c r="F99" s="223" t="s">
        <v>159</v>
      </c>
      <c r="G99" s="221"/>
      <c r="H99" s="224">
        <f>IFERROR(VLOOKUP(G99,[9]Sheet1!$A$15:$AE$37,29,0),0)</f>
        <v>0</v>
      </c>
    </row>
    <row r="100" spans="2:8" hidden="1" x14ac:dyDescent="0.25">
      <c r="B100" s="217" t="s">
        <v>169</v>
      </c>
      <c r="C100" s="222"/>
      <c r="D100" s="214" t="s">
        <v>171</v>
      </c>
      <c r="E100" s="214" t="s">
        <v>124</v>
      </c>
      <c r="F100" s="223" t="s">
        <v>159</v>
      </c>
      <c r="G100" s="221"/>
      <c r="H100" s="224">
        <f>IFERROR(VLOOKUP(G100,[9]Sheet1!$A$15:$AE$37,29,0),0)</f>
        <v>0</v>
      </c>
    </row>
    <row r="101" spans="2:8" hidden="1" x14ac:dyDescent="0.25">
      <c r="B101" s="217" t="s">
        <v>173</v>
      </c>
      <c r="C101" s="222"/>
      <c r="D101" s="214" t="s">
        <v>176</v>
      </c>
      <c r="E101" s="214" t="s">
        <v>126</v>
      </c>
      <c r="F101" s="223" t="s">
        <v>177</v>
      </c>
      <c r="G101" s="221"/>
      <c r="H101" s="224">
        <f>IFERROR(VLOOKUP(G101,[10]Sheet1!$A$15:$AE$43,29,0),0)</f>
        <v>0</v>
      </c>
    </row>
    <row r="102" spans="2:8" hidden="1" x14ac:dyDescent="0.25">
      <c r="B102" s="217" t="s">
        <v>179</v>
      </c>
      <c r="C102" s="222"/>
      <c r="D102" s="214" t="s">
        <v>182</v>
      </c>
      <c r="E102" s="214" t="s">
        <v>165</v>
      </c>
      <c r="F102" s="223" t="s">
        <v>159</v>
      </c>
      <c r="G102" s="221"/>
      <c r="H102" s="224">
        <f>IFERROR(VLOOKUP(G102,[11]Sheet1!$A$15:$AE$43,29,0),0)</f>
        <v>0</v>
      </c>
    </row>
    <row r="103" spans="2:8" hidden="1" x14ac:dyDescent="0.25">
      <c r="B103" s="217" t="s">
        <v>180</v>
      </c>
      <c r="C103" s="222"/>
      <c r="D103" s="214" t="s">
        <v>183</v>
      </c>
      <c r="E103" s="214" t="s">
        <v>185</v>
      </c>
      <c r="F103" s="223" t="s">
        <v>159</v>
      </c>
      <c r="G103" s="221"/>
      <c r="H103" s="224">
        <f>IFERROR(VLOOKUP(G103,[10]Sheet1!$A$15:$AE$43,29,0),0)</f>
        <v>0</v>
      </c>
    </row>
    <row r="104" spans="2:8" hidden="1" x14ac:dyDescent="0.25">
      <c r="B104" s="217" t="s">
        <v>181</v>
      </c>
      <c r="C104" s="222"/>
      <c r="D104" s="214" t="s">
        <v>184</v>
      </c>
      <c r="E104" s="214" t="s">
        <v>165</v>
      </c>
      <c r="F104" s="223" t="s">
        <v>159</v>
      </c>
      <c r="G104" s="221"/>
      <c r="H104" s="224">
        <f>IFERROR(VLOOKUP(G104,[10]Sheet1!$A$15:$AE$43,29,0),0)</f>
        <v>0</v>
      </c>
    </row>
    <row r="105" spans="2:8" hidden="1" x14ac:dyDescent="0.25">
      <c r="B105" s="217" t="s">
        <v>187</v>
      </c>
      <c r="C105" s="222"/>
      <c r="D105" s="214" t="s">
        <v>188</v>
      </c>
      <c r="E105" s="214" t="s">
        <v>133</v>
      </c>
      <c r="F105" s="223" t="s">
        <v>189</v>
      </c>
      <c r="G105" s="221"/>
      <c r="H105" s="224">
        <f>IFERROR(VLOOKUP(G105,[10]Sheet1!$A$15:$AE$43,29,0),0)</f>
        <v>0</v>
      </c>
    </row>
    <row r="106" spans="2:8" hidden="1" x14ac:dyDescent="0.25">
      <c r="B106" s="217" t="s">
        <v>191</v>
      </c>
      <c r="C106" s="222"/>
      <c r="D106" s="214" t="s">
        <v>192</v>
      </c>
      <c r="E106" s="214" t="s">
        <v>126</v>
      </c>
      <c r="F106" s="223" t="s">
        <v>159</v>
      </c>
      <c r="G106" s="221"/>
      <c r="H106" s="224">
        <f>IFERROR(VLOOKUP(G106,[10]Sheet1!$A$15:$AE$43,29,0),0)</f>
        <v>0</v>
      </c>
    </row>
    <row r="107" spans="2:8" hidden="1" x14ac:dyDescent="0.25">
      <c r="B107" s="217" t="s">
        <v>194</v>
      </c>
      <c r="C107" s="222"/>
      <c r="D107" s="214" t="s">
        <v>197</v>
      </c>
      <c r="E107" s="214" t="s">
        <v>133</v>
      </c>
      <c r="F107" s="240" t="s">
        <v>159</v>
      </c>
      <c r="G107" s="221"/>
      <c r="H107" s="224">
        <f>IFERROR(VLOOKUP(G107,[10]Sheet1!$A$15:$AE$43,29,0),0)</f>
        <v>0</v>
      </c>
    </row>
    <row r="108" spans="2:8" ht="1.5" hidden="1" customHeight="1" x14ac:dyDescent="0.25">
      <c r="B108" s="217" t="s">
        <v>196</v>
      </c>
      <c r="C108" s="222"/>
      <c r="D108" s="214" t="s">
        <v>198</v>
      </c>
      <c r="E108" s="214" t="s">
        <v>199</v>
      </c>
      <c r="F108" s="223" t="s">
        <v>159</v>
      </c>
      <c r="G108" s="221"/>
      <c r="H108" s="224">
        <f>IFERROR(VLOOKUP(G108,[10]Sheet1!$A$15:$AE$43,29,0),0)</f>
        <v>0</v>
      </c>
    </row>
    <row r="109" spans="2:8" hidden="1" x14ac:dyDescent="0.25">
      <c r="B109" s="217" t="s">
        <v>201</v>
      </c>
      <c r="C109" s="222"/>
      <c r="D109" s="214" t="s">
        <v>202</v>
      </c>
      <c r="E109" s="214" t="s">
        <v>124</v>
      </c>
      <c r="F109" s="223" t="s">
        <v>159</v>
      </c>
      <c r="G109" s="221"/>
      <c r="H109" s="224">
        <f>IFERROR(VLOOKUP(G109,[10]Sheet1!$A$15:$AE$43,29,0),0)</f>
        <v>0</v>
      </c>
    </row>
    <row r="110" spans="2:8" hidden="1" x14ac:dyDescent="0.25">
      <c r="B110" s="217" t="s">
        <v>204</v>
      </c>
      <c r="C110" s="222"/>
      <c r="D110" s="214" t="s">
        <v>205</v>
      </c>
      <c r="E110" s="214" t="s">
        <v>199</v>
      </c>
      <c r="F110" s="223"/>
      <c r="G110" s="221"/>
      <c r="H110" s="224"/>
    </row>
    <row r="111" spans="2:8" hidden="1" x14ac:dyDescent="0.25">
      <c r="B111" s="217" t="s">
        <v>207</v>
      </c>
      <c r="C111" s="222">
        <v>0</v>
      </c>
      <c r="D111" s="214" t="s">
        <v>208</v>
      </c>
      <c r="E111" s="214" t="s">
        <v>199</v>
      </c>
      <c r="F111" s="223" t="s">
        <v>209</v>
      </c>
      <c r="G111" s="221">
        <v>77242</v>
      </c>
      <c r="H111" s="224">
        <f>IFERROR(VLOOKUP(G111,[5]Sheet1!$A$15:$AE$67,29,0),0)</f>
        <v>0</v>
      </c>
    </row>
    <row r="112" spans="2:8" hidden="1" x14ac:dyDescent="0.25">
      <c r="B112" s="217" t="s">
        <v>213</v>
      </c>
      <c r="C112" s="222">
        <v>0</v>
      </c>
      <c r="D112" s="214" t="s">
        <v>211</v>
      </c>
      <c r="E112" s="214" t="s">
        <v>145</v>
      </c>
      <c r="F112" s="240" t="s">
        <v>248</v>
      </c>
      <c r="G112" s="221"/>
      <c r="H112" s="224">
        <f>IFERROR(VLOOKUP(G112,[6]Sheet1!$A$15:$AE$27,29,0),0)</f>
        <v>0</v>
      </c>
    </row>
    <row r="113" spans="2:8" hidden="1" x14ac:dyDescent="0.25">
      <c r="B113" s="217" t="s">
        <v>214</v>
      </c>
      <c r="C113" s="222">
        <v>0</v>
      </c>
      <c r="D113" s="214" t="s">
        <v>212</v>
      </c>
      <c r="E113" s="214" t="s">
        <v>124</v>
      </c>
      <c r="F113" s="240" t="s">
        <v>159</v>
      </c>
      <c r="G113" s="221"/>
      <c r="H113" s="224">
        <f>IFERROR(VLOOKUP(G113,[6]Sheet1!$A$15:$AE$27,29,0),0)</f>
        <v>0</v>
      </c>
    </row>
    <row r="114" spans="2:8" hidden="1" x14ac:dyDescent="0.25">
      <c r="B114" s="217" t="s">
        <v>215</v>
      </c>
      <c r="C114" s="222">
        <v>0</v>
      </c>
      <c r="D114" s="214" t="s">
        <v>216</v>
      </c>
      <c r="E114" s="214" t="s">
        <v>185</v>
      </c>
      <c r="F114" s="223" t="s">
        <v>189</v>
      </c>
      <c r="G114" s="221"/>
      <c r="H114" s="224">
        <f>IFERROR(VLOOKUP(G114,[6]Sheet1!$A$15:$AE$27,29,0),0)</f>
        <v>0</v>
      </c>
    </row>
    <row r="115" spans="2:8" hidden="1" x14ac:dyDescent="0.25">
      <c r="B115" s="217" t="s">
        <v>217</v>
      </c>
      <c r="C115" s="222">
        <v>0</v>
      </c>
      <c r="D115" s="214" t="s">
        <v>221</v>
      </c>
      <c r="E115" s="214" t="s">
        <v>124</v>
      </c>
      <c r="F115" s="240" t="s">
        <v>159</v>
      </c>
      <c r="G115" s="221"/>
      <c r="H115" s="224">
        <f>IFERROR(VLOOKUP(G115,[6]Sheet1!$A$15:$AE$27,29,0),0)</f>
        <v>0</v>
      </c>
    </row>
    <row r="116" spans="2:8" hidden="1" x14ac:dyDescent="0.25">
      <c r="B116" s="217" t="s">
        <v>219</v>
      </c>
      <c r="C116" s="222">
        <v>0</v>
      </c>
      <c r="D116" s="214" t="s">
        <v>222</v>
      </c>
      <c r="E116" s="214" t="s">
        <v>145</v>
      </c>
      <c r="F116" s="240" t="s">
        <v>159</v>
      </c>
      <c r="G116" s="221"/>
      <c r="H116" s="224">
        <f>IFERROR(VLOOKUP(G116,[6]Sheet1!$A$15:$AE$27,29,0),0)</f>
        <v>0</v>
      </c>
    </row>
    <row r="117" spans="2:8" hidden="1" x14ac:dyDescent="0.25">
      <c r="B117" s="217" t="s">
        <v>224</v>
      </c>
      <c r="C117" s="222">
        <v>0</v>
      </c>
      <c r="D117" s="214" t="s">
        <v>225</v>
      </c>
      <c r="E117" s="214" t="s">
        <v>165</v>
      </c>
      <c r="F117" s="240" t="s">
        <v>159</v>
      </c>
      <c r="G117" s="221"/>
      <c r="H117" s="224">
        <f>IFERROR(VLOOKUP(G117,[6]Sheet1!$A$15:$AE$27,29,0),0)</f>
        <v>0</v>
      </c>
    </row>
    <row r="118" spans="2:8" hidden="1" x14ac:dyDescent="0.25">
      <c r="B118" s="241" t="s">
        <v>227</v>
      </c>
      <c r="C118" s="222">
        <v>0</v>
      </c>
      <c r="D118" s="242" t="s">
        <v>231</v>
      </c>
      <c r="E118" s="242" t="s">
        <v>143</v>
      </c>
      <c r="F118" s="240" t="s">
        <v>159</v>
      </c>
      <c r="G118" s="221"/>
      <c r="H118" s="224">
        <f>IFERROR(VLOOKUP(G118,[6]Sheet1!$A$15:$AE$27,29,0),0)</f>
        <v>0</v>
      </c>
    </row>
    <row r="119" spans="2:8" hidden="1" x14ac:dyDescent="0.25">
      <c r="B119" s="241" t="s">
        <v>228</v>
      </c>
      <c r="C119" s="222">
        <v>0</v>
      </c>
      <c r="D119" s="242" t="s">
        <v>230</v>
      </c>
      <c r="E119" s="242" t="s">
        <v>143</v>
      </c>
      <c r="F119" s="240" t="s">
        <v>159</v>
      </c>
      <c r="G119" s="221"/>
      <c r="H119" s="224">
        <f>IFERROR(VLOOKUP(G119,[6]Sheet1!$A$15:$AE$27,29,0),0)</f>
        <v>0</v>
      </c>
    </row>
    <row r="120" spans="2:8" hidden="1" x14ac:dyDescent="0.25">
      <c r="B120" s="241" t="s">
        <v>232</v>
      </c>
      <c r="C120" s="222">
        <v>0</v>
      </c>
      <c r="D120" s="242" t="s">
        <v>233</v>
      </c>
      <c r="E120" s="242" t="s">
        <v>199</v>
      </c>
      <c r="F120" s="240" t="s">
        <v>159</v>
      </c>
      <c r="G120" s="221"/>
      <c r="H120" s="224">
        <f>IFERROR(VLOOKUP(G120,[6]Sheet1!$A$15:$AE$27,29,0),0)</f>
        <v>0</v>
      </c>
    </row>
    <row r="121" spans="2:8" hidden="1" x14ac:dyDescent="0.25">
      <c r="B121" s="241" t="s">
        <v>236</v>
      </c>
      <c r="C121" s="222">
        <v>0</v>
      </c>
      <c r="D121" s="242" t="s">
        <v>238</v>
      </c>
      <c r="E121" s="214" t="s">
        <v>133</v>
      </c>
      <c r="F121" s="240" t="s">
        <v>248</v>
      </c>
      <c r="G121" s="221"/>
      <c r="H121" s="224">
        <f>IFERROR(VLOOKUP(G121,[6]Sheet1!$A$15:$AE$27,29,0),0)</f>
        <v>0</v>
      </c>
    </row>
    <row r="122" spans="2:8" hidden="1" x14ac:dyDescent="0.25">
      <c r="B122" s="241" t="s">
        <v>237</v>
      </c>
      <c r="C122" s="222">
        <v>0</v>
      </c>
      <c r="D122" s="242" t="s">
        <v>239</v>
      </c>
      <c r="E122" s="242" t="s">
        <v>165</v>
      </c>
      <c r="F122" s="240" t="s">
        <v>248</v>
      </c>
      <c r="G122" s="221"/>
      <c r="H122" s="224">
        <f>IFERROR(VLOOKUP(G122,[6]Sheet1!$A$15:$AE$27,29,0),0)</f>
        <v>0</v>
      </c>
    </row>
    <row r="123" spans="2:8" hidden="1" x14ac:dyDescent="0.25">
      <c r="B123" s="241" t="s">
        <v>242</v>
      </c>
      <c r="C123" s="222">
        <v>0</v>
      </c>
      <c r="D123" s="242" t="s">
        <v>244</v>
      </c>
      <c r="E123" s="242" t="s">
        <v>124</v>
      </c>
      <c r="F123" s="240" t="s">
        <v>159</v>
      </c>
      <c r="G123" s="221"/>
      <c r="H123" s="224">
        <f>IFERROR(VLOOKUP(G123,[6]Sheet1!$A$15:$AE$27,29,0),0)</f>
        <v>0</v>
      </c>
    </row>
    <row r="124" spans="2:8" hidden="1" x14ac:dyDescent="0.25">
      <c r="B124" s="241" t="s">
        <v>243</v>
      </c>
      <c r="C124" s="222">
        <v>0</v>
      </c>
      <c r="D124" s="242" t="s">
        <v>245</v>
      </c>
      <c r="E124" s="242" t="s">
        <v>119</v>
      </c>
      <c r="F124" s="240" t="s">
        <v>159</v>
      </c>
      <c r="G124" s="221"/>
      <c r="H124" s="224">
        <f>IFERROR(VLOOKUP(G124,[6]Sheet1!$A$15:$AE$27,29,0),0)</f>
        <v>0</v>
      </c>
    </row>
    <row r="125" spans="2:8" hidden="1" x14ac:dyDescent="0.25">
      <c r="B125" s="241" t="s">
        <v>250</v>
      </c>
      <c r="C125" s="222">
        <v>0</v>
      </c>
      <c r="D125" s="242" t="s">
        <v>251</v>
      </c>
      <c r="E125" s="214" t="s">
        <v>145</v>
      </c>
      <c r="F125" s="240" t="s">
        <v>159</v>
      </c>
      <c r="G125" s="221"/>
      <c r="H125" s="224">
        <f>IFERROR(VLOOKUP(G125,[6]Sheet1!$A$15:$AE$27,29,0),0)</f>
        <v>0</v>
      </c>
    </row>
    <row r="126" spans="2:8" hidden="1" x14ac:dyDescent="0.25">
      <c r="B126" s="241" t="s">
        <v>252</v>
      </c>
      <c r="C126" s="222">
        <v>0</v>
      </c>
      <c r="D126" s="242" t="s">
        <v>253</v>
      </c>
      <c r="E126" s="242" t="s">
        <v>133</v>
      </c>
      <c r="F126" s="240" t="s">
        <v>159</v>
      </c>
      <c r="G126" s="221"/>
      <c r="H126" s="224">
        <f>IFERROR(VLOOKUP(G126,[6]Sheet1!$A$15:$AE$27,29,0),0)</f>
        <v>0</v>
      </c>
    </row>
    <row r="127" spans="2:8" hidden="1" x14ac:dyDescent="0.25">
      <c r="B127" s="241" t="s">
        <v>256</v>
      </c>
      <c r="C127" s="222">
        <v>0</v>
      </c>
      <c r="D127" s="242" t="s">
        <v>258</v>
      </c>
      <c r="E127" s="242" t="s">
        <v>145</v>
      </c>
      <c r="F127" s="240" t="s">
        <v>159</v>
      </c>
      <c r="G127" s="221"/>
      <c r="H127" s="224">
        <f>IFERROR(VLOOKUP(G127,[6]Sheet1!$A$15:$AE$27,29,0),0)</f>
        <v>0</v>
      </c>
    </row>
    <row r="128" spans="2:8" hidden="1" x14ac:dyDescent="0.25">
      <c r="B128" s="241" t="s">
        <v>260</v>
      </c>
      <c r="C128" s="222">
        <v>0</v>
      </c>
      <c r="D128" s="242" t="s">
        <v>261</v>
      </c>
      <c r="E128" s="242" t="s">
        <v>133</v>
      </c>
      <c r="F128" s="240" t="s">
        <v>159</v>
      </c>
      <c r="G128" s="221"/>
      <c r="H128" s="224">
        <f>IFERROR(VLOOKUP(G128,[6]Sheet1!$A$15:$AE$27,29,0),0)</f>
        <v>0</v>
      </c>
    </row>
    <row r="129" spans="2:8" hidden="1" x14ac:dyDescent="0.25">
      <c r="B129" s="241" t="s">
        <v>263</v>
      </c>
      <c r="C129" s="222">
        <v>0</v>
      </c>
      <c r="D129" s="242" t="s">
        <v>264</v>
      </c>
      <c r="E129" s="242" t="s">
        <v>185</v>
      </c>
      <c r="F129" s="240" t="s">
        <v>159</v>
      </c>
      <c r="G129" s="221"/>
      <c r="H129" s="224">
        <f>IFERROR(VLOOKUP(G129,[6]Sheet1!$A$15:$AE$27,29,0),0)</f>
        <v>0</v>
      </c>
    </row>
    <row r="130" spans="2:8" hidden="1" x14ac:dyDescent="0.25">
      <c r="B130" s="241" t="s">
        <v>266</v>
      </c>
      <c r="C130" s="222">
        <v>0</v>
      </c>
      <c r="D130" s="242" t="str">
        <f>+"Folio "&amp;G130</f>
        <v xml:space="preserve">Folio </v>
      </c>
      <c r="E130" s="242" t="s">
        <v>199</v>
      </c>
      <c r="F130" s="240" t="s">
        <v>159</v>
      </c>
      <c r="G130" s="221"/>
      <c r="H130" s="224">
        <f>IFERROR(VLOOKUP(G130,[6]Sheet1!$A$15:$AE$27,29,0),0)</f>
        <v>0</v>
      </c>
    </row>
    <row r="131" spans="2:8" hidden="1" x14ac:dyDescent="0.25">
      <c r="B131" s="241" t="s">
        <v>267</v>
      </c>
      <c r="C131" s="222">
        <v>0</v>
      </c>
      <c r="D131" s="242" t="str">
        <f>+"Folio "&amp;G131</f>
        <v xml:space="preserve">Folio </v>
      </c>
      <c r="E131" s="242" t="s">
        <v>133</v>
      </c>
      <c r="F131" s="240" t="s">
        <v>159</v>
      </c>
      <c r="G131" s="221"/>
      <c r="H131" s="224">
        <f>IFERROR(VLOOKUP(G131,[6]Sheet1!$A$15:$AE$27,29,0),0)</f>
        <v>0</v>
      </c>
    </row>
    <row r="132" spans="2:8" hidden="1" x14ac:dyDescent="0.25">
      <c r="B132" s="241" t="s">
        <v>268</v>
      </c>
      <c r="C132" s="222">
        <v>0</v>
      </c>
      <c r="D132" s="242" t="str">
        <f>+"Folio "&amp;G132</f>
        <v xml:space="preserve">Folio </v>
      </c>
      <c r="E132" s="214" t="s">
        <v>145</v>
      </c>
      <c r="F132" s="240" t="s">
        <v>159</v>
      </c>
      <c r="G132" s="221"/>
      <c r="H132" s="224">
        <f>IFERROR(VLOOKUP(G132,[6]Sheet1!$A$15:$AE$27,29,0),0)</f>
        <v>0</v>
      </c>
    </row>
    <row r="133" spans="2:8" hidden="1" x14ac:dyDescent="0.25">
      <c r="B133" s="241" t="s">
        <v>269</v>
      </c>
      <c r="C133" s="222">
        <v>0</v>
      </c>
      <c r="D133" s="242" t="str">
        <f t="shared" ref="D133:D156" si="3">+"Folio "&amp;G133</f>
        <v xml:space="preserve">Folio </v>
      </c>
      <c r="E133" s="242" t="s">
        <v>153</v>
      </c>
      <c r="F133" s="240" t="s">
        <v>159</v>
      </c>
      <c r="G133" s="221"/>
      <c r="H133" s="224">
        <f>IFERROR(VLOOKUP(G133,[6]Sheet1!$A$15:$AE$27,29,0),0)</f>
        <v>0</v>
      </c>
    </row>
    <row r="134" spans="2:8" hidden="1" x14ac:dyDescent="0.25">
      <c r="B134" s="241" t="s">
        <v>270</v>
      </c>
      <c r="C134" s="222">
        <v>0</v>
      </c>
      <c r="D134" s="242" t="str">
        <f t="shared" si="3"/>
        <v xml:space="preserve">Folio </v>
      </c>
      <c r="E134" s="242" t="s">
        <v>133</v>
      </c>
      <c r="F134" s="240" t="s">
        <v>159</v>
      </c>
      <c r="G134" s="221"/>
      <c r="H134" s="224">
        <f>IFERROR(VLOOKUP(G134,[6]Sheet1!$A$15:$AE$27,29,0),0)</f>
        <v>0</v>
      </c>
    </row>
    <row r="135" spans="2:8" hidden="1" x14ac:dyDescent="0.25">
      <c r="B135" s="241" t="s">
        <v>271</v>
      </c>
      <c r="C135" s="222">
        <v>0</v>
      </c>
      <c r="D135" s="242" t="str">
        <f t="shared" si="3"/>
        <v xml:space="preserve">Folio </v>
      </c>
      <c r="E135" s="242" t="s">
        <v>153</v>
      </c>
      <c r="F135" s="240" t="s">
        <v>159</v>
      </c>
      <c r="G135" s="221"/>
      <c r="H135" s="224">
        <f>IFERROR(VLOOKUP(G135,[6]Sheet1!$A$15:$AE$27,29,0),0)</f>
        <v>0</v>
      </c>
    </row>
    <row r="136" spans="2:8" hidden="1" x14ac:dyDescent="0.25">
      <c r="B136" s="241" t="s">
        <v>272</v>
      </c>
      <c r="C136" s="222">
        <v>0</v>
      </c>
      <c r="D136" s="242" t="str">
        <f t="shared" si="3"/>
        <v xml:space="preserve">Folio </v>
      </c>
      <c r="E136" s="242" t="s">
        <v>133</v>
      </c>
      <c r="F136" s="240" t="s">
        <v>159</v>
      </c>
      <c r="G136" s="221"/>
      <c r="H136" s="224">
        <f>IFERROR(VLOOKUP(G136,[6]Sheet1!$A$15:$AE$27,29,0),0)</f>
        <v>0</v>
      </c>
    </row>
    <row r="137" spans="2:8" hidden="1" x14ac:dyDescent="0.25">
      <c r="B137" s="241" t="s">
        <v>273</v>
      </c>
      <c r="C137" s="222">
        <v>0</v>
      </c>
      <c r="D137" s="242" t="str">
        <f t="shared" si="3"/>
        <v xml:space="preserve">Folio </v>
      </c>
      <c r="E137" s="242" t="s">
        <v>133</v>
      </c>
      <c r="F137" s="240" t="s">
        <v>159</v>
      </c>
      <c r="G137" s="221"/>
      <c r="H137" s="224">
        <f>IFERROR(VLOOKUP(G137,[6]Sheet1!$A$15:$AE$27,29,0),0)</f>
        <v>0</v>
      </c>
    </row>
    <row r="138" spans="2:8" hidden="1" x14ac:dyDescent="0.25">
      <c r="B138" s="241" t="s">
        <v>275</v>
      </c>
      <c r="C138" s="222">
        <v>0</v>
      </c>
      <c r="D138" s="242" t="str">
        <f t="shared" si="3"/>
        <v xml:space="preserve">Folio </v>
      </c>
      <c r="E138" s="242" t="s">
        <v>133</v>
      </c>
      <c r="F138" s="240" t="s">
        <v>159</v>
      </c>
      <c r="G138" s="221"/>
      <c r="H138" s="224">
        <f>IFERROR(VLOOKUP(G138,[6]Sheet1!$A$15:$AE$27,29,0),0)</f>
        <v>0</v>
      </c>
    </row>
    <row r="139" spans="2:8" hidden="1" x14ac:dyDescent="0.25">
      <c r="B139" s="241" t="s">
        <v>276</v>
      </c>
      <c r="C139" s="222"/>
      <c r="D139" s="242" t="str">
        <f t="shared" si="3"/>
        <v xml:space="preserve">Folio </v>
      </c>
      <c r="E139" s="242" t="s">
        <v>153</v>
      </c>
      <c r="F139" s="240" t="s">
        <v>159</v>
      </c>
      <c r="G139" s="221"/>
      <c r="H139" s="224"/>
    </row>
    <row r="140" spans="2:8" hidden="1" x14ac:dyDescent="0.25">
      <c r="B140" s="241" t="s">
        <v>281</v>
      </c>
      <c r="C140" s="222"/>
      <c r="D140" s="242" t="str">
        <f t="shared" si="3"/>
        <v xml:space="preserve">Folio </v>
      </c>
      <c r="E140" s="242" t="s">
        <v>133</v>
      </c>
      <c r="F140" s="240" t="s">
        <v>159</v>
      </c>
      <c r="G140" s="221"/>
      <c r="H140" s="224"/>
    </row>
    <row r="141" spans="2:8" hidden="1" x14ac:dyDescent="0.25">
      <c r="B141" s="241" t="s">
        <v>282</v>
      </c>
      <c r="C141" s="222"/>
      <c r="D141" s="242" t="str">
        <f t="shared" si="3"/>
        <v xml:space="preserve">Folio </v>
      </c>
      <c r="E141" s="242" t="s">
        <v>124</v>
      </c>
      <c r="F141" s="240" t="s">
        <v>159</v>
      </c>
      <c r="G141" s="221"/>
      <c r="H141" s="224"/>
    </row>
    <row r="142" spans="2:8" hidden="1" x14ac:dyDescent="0.25">
      <c r="B142" s="241" t="s">
        <v>285</v>
      </c>
      <c r="C142" s="222"/>
      <c r="D142" s="242" t="str">
        <f t="shared" si="3"/>
        <v xml:space="preserve">Folio </v>
      </c>
      <c r="E142" s="242" t="s">
        <v>124</v>
      </c>
      <c r="F142" s="240" t="s">
        <v>159</v>
      </c>
      <c r="G142" s="221"/>
      <c r="H142" s="224"/>
    </row>
    <row r="143" spans="2:8" hidden="1" x14ac:dyDescent="0.25">
      <c r="B143" s="241" t="s">
        <v>286</v>
      </c>
      <c r="C143" s="222"/>
      <c r="D143" s="242" t="str">
        <f t="shared" si="3"/>
        <v xml:space="preserve">Folio </v>
      </c>
      <c r="E143" s="214" t="s">
        <v>145</v>
      </c>
      <c r="F143" s="240" t="s">
        <v>159</v>
      </c>
      <c r="G143" s="221"/>
      <c r="H143" s="224"/>
    </row>
    <row r="144" spans="2:8" hidden="1" x14ac:dyDescent="0.25">
      <c r="B144" s="241" t="s">
        <v>288</v>
      </c>
      <c r="C144" s="222"/>
      <c r="D144" s="242" t="str">
        <f t="shared" si="3"/>
        <v xml:space="preserve">Folio </v>
      </c>
      <c r="E144" s="242" t="s">
        <v>126</v>
      </c>
      <c r="F144" s="240" t="s">
        <v>159</v>
      </c>
      <c r="G144" s="221"/>
      <c r="H144" s="224"/>
    </row>
    <row r="145" spans="2:11" hidden="1" x14ac:dyDescent="0.25">
      <c r="B145" s="241" t="s">
        <v>256</v>
      </c>
      <c r="C145" s="222"/>
      <c r="D145" s="242" t="str">
        <f t="shared" si="3"/>
        <v xml:space="preserve">Folio </v>
      </c>
      <c r="E145" s="242" t="s">
        <v>124</v>
      </c>
      <c r="F145" s="240" t="s">
        <v>159</v>
      </c>
      <c r="G145" s="221"/>
      <c r="H145" s="224"/>
    </row>
    <row r="146" spans="2:11" hidden="1" x14ac:dyDescent="0.25">
      <c r="B146" s="241" t="s">
        <v>191</v>
      </c>
      <c r="C146" s="222"/>
      <c r="D146" s="242" t="str">
        <f t="shared" si="3"/>
        <v xml:space="preserve">Folio </v>
      </c>
      <c r="E146" s="242" t="s">
        <v>199</v>
      </c>
      <c r="F146" s="240" t="s">
        <v>159</v>
      </c>
      <c r="G146" s="221"/>
      <c r="H146" s="224"/>
    </row>
    <row r="147" spans="2:11" hidden="1" x14ac:dyDescent="0.25">
      <c r="B147" s="241" t="s">
        <v>217</v>
      </c>
      <c r="C147" s="222"/>
      <c r="D147" s="242" t="str">
        <f t="shared" si="3"/>
        <v xml:space="preserve">Folio </v>
      </c>
      <c r="E147" s="242" t="s">
        <v>124</v>
      </c>
      <c r="F147" s="240" t="s">
        <v>159</v>
      </c>
      <c r="G147" s="221"/>
      <c r="H147" s="224"/>
    </row>
    <row r="148" spans="2:11" hidden="1" x14ac:dyDescent="0.25">
      <c r="B148" s="241" t="s">
        <v>236</v>
      </c>
      <c r="C148" s="222"/>
      <c r="D148" s="242" t="str">
        <f t="shared" si="3"/>
        <v xml:space="preserve">Folio </v>
      </c>
      <c r="E148" s="242" t="s">
        <v>119</v>
      </c>
      <c r="F148" s="240" t="s">
        <v>159</v>
      </c>
      <c r="G148" s="221"/>
      <c r="H148" s="224"/>
    </row>
    <row r="149" spans="2:11" x14ac:dyDescent="0.25">
      <c r="B149" s="241" t="s">
        <v>242</v>
      </c>
      <c r="C149" s="222"/>
      <c r="D149" s="242" t="str">
        <f t="shared" si="3"/>
        <v>Folio 80982</v>
      </c>
      <c r="E149" s="242" t="s">
        <v>133</v>
      </c>
      <c r="F149" s="240">
        <f>+F68</f>
        <v>43231</v>
      </c>
      <c r="G149" s="221">
        <f>+G68</f>
        <v>80982</v>
      </c>
      <c r="H149" s="224">
        <f>IFERROR(VLOOKUP(G149,[12]Sheet1!$A$15:$AE$33,29,0),0)</f>
        <v>1453302.2263</v>
      </c>
    </row>
    <row r="150" spans="2:11" hidden="1" x14ac:dyDescent="0.25">
      <c r="B150" s="241" t="s">
        <v>242</v>
      </c>
      <c r="C150" s="222"/>
      <c r="D150" s="242" t="str">
        <f t="shared" si="3"/>
        <v xml:space="preserve">Folio </v>
      </c>
      <c r="E150" s="242" t="s">
        <v>133</v>
      </c>
      <c r="F150" s="240"/>
      <c r="G150" s="221"/>
      <c r="H150" s="224">
        <f>IFERROR(VLOOKUP(G150,[12]Sheet1!$A$15:$AE$33,29,0),0)</f>
        <v>0</v>
      </c>
    </row>
    <row r="151" spans="2:11" x14ac:dyDescent="0.25">
      <c r="B151" s="241" t="s">
        <v>252</v>
      </c>
      <c r="C151" s="222"/>
      <c r="D151" s="242" t="str">
        <f t="shared" si="3"/>
        <v>Folio 80806</v>
      </c>
      <c r="E151" s="242" t="s">
        <v>153</v>
      </c>
      <c r="F151" s="240">
        <f>+F71</f>
        <v>43259</v>
      </c>
      <c r="G151" s="221">
        <f>+G71</f>
        <v>80806</v>
      </c>
      <c r="H151" s="224">
        <f>IFERROR(VLOOKUP(G151,[12]Sheet1!$A$15:$AE$33,29,0),0)</f>
        <v>968242.8084000001</v>
      </c>
    </row>
    <row r="152" spans="2:11" x14ac:dyDescent="0.25">
      <c r="B152" s="241" t="s">
        <v>260</v>
      </c>
      <c r="C152" s="222"/>
      <c r="D152" s="242" t="str">
        <f t="shared" si="3"/>
        <v>Folio 80477</v>
      </c>
      <c r="E152" s="242" t="s">
        <v>143</v>
      </c>
      <c r="F152" s="240">
        <f>+F73</f>
        <v>43264</v>
      </c>
      <c r="G152" s="221">
        <f>+G73</f>
        <v>80477</v>
      </c>
      <c r="H152" s="224">
        <f>IFERROR(VLOOKUP(G152,[12]Sheet1!$A$15:$AE$33,29,0),0)</f>
        <v>2580770.1697</v>
      </c>
    </row>
    <row r="153" spans="2:11" x14ac:dyDescent="0.25">
      <c r="B153" s="241" t="s">
        <v>263</v>
      </c>
      <c r="C153" s="222"/>
      <c r="D153" s="242" t="str">
        <f t="shared" si="3"/>
        <v>Folio 80718</v>
      </c>
      <c r="E153" s="242" t="s">
        <v>126</v>
      </c>
      <c r="F153" s="240">
        <f>+F74</f>
        <v>43227</v>
      </c>
      <c r="G153" s="221">
        <f>+G75</f>
        <v>80718</v>
      </c>
      <c r="H153" s="224">
        <f>IFERROR(VLOOKUP(G153,[12]Sheet1!$A$15:$AE$33,29,0),0)</f>
        <v>2665789.6313</v>
      </c>
    </row>
    <row r="154" spans="2:11" x14ac:dyDescent="0.25">
      <c r="B154" s="241" t="s">
        <v>267</v>
      </c>
      <c r="C154" s="222"/>
      <c r="D154" s="242" t="str">
        <f t="shared" si="3"/>
        <v>Folio 80585</v>
      </c>
      <c r="E154" s="242"/>
      <c r="F154" s="240">
        <f>+F75</f>
        <v>43244</v>
      </c>
      <c r="G154" s="221">
        <f>+G76</f>
        <v>80585</v>
      </c>
      <c r="H154" s="224">
        <f>IFERROR(VLOOKUP(G154,[12]Sheet1!$A$15:$AE$33,29,0),0)</f>
        <v>726022.68550000002</v>
      </c>
    </row>
    <row r="155" spans="2:11" x14ac:dyDescent="0.25">
      <c r="B155" s="241" t="s">
        <v>268</v>
      </c>
      <c r="C155" s="222"/>
      <c r="D155" s="242" t="str">
        <f t="shared" si="3"/>
        <v>Folio 80837</v>
      </c>
      <c r="E155" s="242"/>
      <c r="F155" s="240">
        <f>+F76</f>
        <v>43262</v>
      </c>
      <c r="G155" s="221">
        <f>+G77</f>
        <v>80837</v>
      </c>
      <c r="H155" s="224">
        <f>IFERROR(VLOOKUP(G155,[12]Sheet1!$A$15:$AE$33,29,0),0)</f>
        <v>2865766.6418000003</v>
      </c>
    </row>
    <row r="156" spans="2:11" x14ac:dyDescent="0.25">
      <c r="B156" s="241" t="s">
        <v>269</v>
      </c>
      <c r="C156" s="222"/>
      <c r="D156" s="242" t="str">
        <f t="shared" si="3"/>
        <v>Folio 80851</v>
      </c>
      <c r="E156" s="242"/>
      <c r="F156" s="240"/>
      <c r="G156" s="221">
        <f>+G78</f>
        <v>80851</v>
      </c>
      <c r="H156" s="224">
        <f>IFERROR(VLOOKUP(G156,[12]Sheet1!$A$15:$AE$33,29,0),0)</f>
        <v>1776134.1034000001</v>
      </c>
    </row>
    <row r="157" spans="2:11" x14ac:dyDescent="0.25">
      <c r="B157" s="331"/>
      <c r="C157" s="236"/>
      <c r="D157" s="242" t="str">
        <f t="shared" ref="D157" si="4">+"Folio "&amp;G157</f>
        <v>Folio 80946</v>
      </c>
      <c r="E157" s="242" t="s">
        <v>145</v>
      </c>
      <c r="F157" s="240">
        <f>+F77</f>
        <v>43256</v>
      </c>
      <c r="G157" s="221">
        <f>+G79</f>
        <v>80946</v>
      </c>
      <c r="H157" s="224">
        <f>IFERROR(VLOOKUP(G157,[12]Sheet1!$A$15:$AE$33,29,0),0)</f>
        <v>1614769.5004</v>
      </c>
    </row>
    <row r="158" spans="2:11" x14ac:dyDescent="0.25">
      <c r="B158" s="217" t="s">
        <v>68</v>
      </c>
      <c r="C158" s="236">
        <f>+F81</f>
        <v>455233.22158010863</v>
      </c>
      <c r="D158" s="242"/>
      <c r="E158" s="242"/>
      <c r="F158" s="240"/>
      <c r="G158" s="221"/>
      <c r="H158" s="224"/>
    </row>
    <row r="159" spans="2:11" x14ac:dyDescent="0.25">
      <c r="B159" s="227" t="s">
        <v>45</v>
      </c>
      <c r="C159" s="228">
        <f>SUM(C87:C158)</f>
        <v>455233.22158010863</v>
      </c>
      <c r="D159" s="214" t="s">
        <v>53</v>
      </c>
      <c r="F159" s="229">
        <f>+C158+C160</f>
        <v>14802654.801353667</v>
      </c>
      <c r="G159" s="237"/>
      <c r="H159" s="296">
        <f>SUM(H149:H157)</f>
        <v>14650797.766799998</v>
      </c>
      <c r="I159" s="230">
        <v>191063.16</v>
      </c>
      <c r="K159" s="230">
        <f>+I159-F159</f>
        <v>-14611591.641353667</v>
      </c>
    </row>
    <row r="160" spans="2:11" x14ac:dyDescent="0.25">
      <c r="B160" s="232" t="s">
        <v>46</v>
      </c>
      <c r="C160" s="285">
        <f>+'Sintetico MoneyMarket'!A538-'R° Sintetico MM'!C159</f>
        <v>14347421.579773558</v>
      </c>
      <c r="E160" s="231"/>
      <c r="F160" s="231"/>
      <c r="G160" s="226"/>
      <c r="H160" s="226"/>
      <c r="K160" s="214"/>
    </row>
    <row r="161" spans="2:11" x14ac:dyDescent="0.25">
      <c r="G161" s="226"/>
      <c r="H161" s="226"/>
      <c r="K161" s="214"/>
    </row>
    <row r="162" spans="2:11" x14ac:dyDescent="0.25">
      <c r="G162" s="226"/>
      <c r="H162" s="226"/>
      <c r="K162" s="214"/>
    </row>
    <row r="163" spans="2:11" x14ac:dyDescent="0.25">
      <c r="B163" s="215" t="str">
        <f ca="1">PROPER((TEXT(C163,"DDDD")))</f>
        <v>Domingo</v>
      </c>
      <c r="C163" s="216">
        <f ca="1">TODAY()+2</f>
        <v>43240</v>
      </c>
      <c r="G163" s="346" t="s">
        <v>155</v>
      </c>
      <c r="H163" s="346"/>
      <c r="K163" s="214"/>
    </row>
    <row r="164" spans="2:11" hidden="1" x14ac:dyDescent="0.25">
      <c r="B164" s="217" t="s">
        <v>44</v>
      </c>
      <c r="C164" s="222"/>
      <c r="D164" s="219" t="s">
        <v>112</v>
      </c>
      <c r="E164" s="219" t="s">
        <v>113</v>
      </c>
      <c r="F164" s="220" t="s">
        <v>159</v>
      </c>
      <c r="G164" s="221"/>
      <c r="H164" s="221"/>
      <c r="K164" s="214"/>
    </row>
    <row r="165" spans="2:11" hidden="1" x14ac:dyDescent="0.25">
      <c r="B165" s="217" t="s">
        <v>47</v>
      </c>
      <c r="C165" s="222"/>
      <c r="D165" s="214" t="s">
        <v>118</v>
      </c>
      <c r="E165" s="214" t="s">
        <v>119</v>
      </c>
      <c r="F165" s="220" t="s">
        <v>159</v>
      </c>
      <c r="G165" s="221"/>
      <c r="H165" s="221"/>
      <c r="K165" s="214"/>
    </row>
    <row r="166" spans="2:11" hidden="1" x14ac:dyDescent="0.25">
      <c r="B166" s="217" t="s">
        <v>48</v>
      </c>
      <c r="C166" s="222"/>
      <c r="D166" s="214" t="s">
        <v>123</v>
      </c>
      <c r="E166" s="214" t="s">
        <v>124</v>
      </c>
      <c r="F166" s="220" t="s">
        <v>159</v>
      </c>
      <c r="G166" s="221"/>
      <c r="H166" s="221"/>
      <c r="K166" s="214"/>
    </row>
    <row r="167" spans="2:11" hidden="1" x14ac:dyDescent="0.25">
      <c r="B167" s="217" t="s">
        <v>73</v>
      </c>
      <c r="C167" s="222"/>
      <c r="D167" s="219" t="s">
        <v>125</v>
      </c>
      <c r="E167" s="219" t="s">
        <v>126</v>
      </c>
      <c r="F167" s="220" t="s">
        <v>159</v>
      </c>
      <c r="G167" s="221"/>
      <c r="H167" s="221"/>
      <c r="K167" s="214"/>
    </row>
    <row r="168" spans="2:11" hidden="1" x14ac:dyDescent="0.25">
      <c r="B168" s="217" t="s">
        <v>75</v>
      </c>
      <c r="C168" s="222"/>
      <c r="D168" s="214" t="s">
        <v>132</v>
      </c>
      <c r="E168" s="214" t="s">
        <v>133</v>
      </c>
      <c r="F168" s="220" t="s">
        <v>159</v>
      </c>
      <c r="G168" s="221"/>
      <c r="H168" s="221"/>
      <c r="K168" s="214"/>
    </row>
    <row r="169" spans="2:11" hidden="1" x14ac:dyDescent="0.25">
      <c r="B169" s="217" t="s">
        <v>128</v>
      </c>
      <c r="C169" s="222"/>
      <c r="D169" s="219" t="s">
        <v>130</v>
      </c>
      <c r="E169" s="219" t="s">
        <v>131</v>
      </c>
      <c r="F169" s="220" t="s">
        <v>159</v>
      </c>
      <c r="G169" s="221"/>
      <c r="H169" s="221"/>
      <c r="K169" s="214"/>
    </row>
    <row r="170" spans="2:11" hidden="1" x14ac:dyDescent="0.25">
      <c r="B170" s="217" t="s">
        <v>134</v>
      </c>
      <c r="C170" s="222"/>
      <c r="D170" s="214" t="s">
        <v>137</v>
      </c>
      <c r="E170" s="214" t="s">
        <v>133</v>
      </c>
      <c r="F170" s="220" t="s">
        <v>159</v>
      </c>
      <c r="G170" s="221"/>
      <c r="H170" s="221"/>
      <c r="K170" s="214"/>
    </row>
    <row r="171" spans="2:11" hidden="1" x14ac:dyDescent="0.25">
      <c r="B171" s="217" t="s">
        <v>139</v>
      </c>
      <c r="C171" s="222"/>
      <c r="D171" s="219" t="s">
        <v>142</v>
      </c>
      <c r="E171" s="219" t="s">
        <v>143</v>
      </c>
      <c r="F171" s="220" t="s">
        <v>159</v>
      </c>
      <c r="G171" s="221"/>
      <c r="H171" s="221"/>
      <c r="K171" s="214"/>
    </row>
    <row r="172" spans="2:11" hidden="1" x14ac:dyDescent="0.25">
      <c r="B172" s="217" t="s">
        <v>140</v>
      </c>
      <c r="C172" s="222"/>
      <c r="D172" s="214" t="s">
        <v>144</v>
      </c>
      <c r="E172" s="214" t="s">
        <v>145</v>
      </c>
      <c r="F172" s="223" t="s">
        <v>146</v>
      </c>
      <c r="G172" s="221"/>
      <c r="H172" s="224"/>
      <c r="K172" s="214"/>
    </row>
    <row r="173" spans="2:11" hidden="1" x14ac:dyDescent="0.25">
      <c r="B173" s="217" t="s">
        <v>151</v>
      </c>
      <c r="C173" s="222"/>
      <c r="D173" s="214" t="s">
        <v>152</v>
      </c>
      <c r="E173" s="214" t="s">
        <v>153</v>
      </c>
      <c r="F173" s="223" t="s">
        <v>154</v>
      </c>
      <c r="G173" s="221"/>
      <c r="H173" s="224"/>
      <c r="K173" s="214"/>
    </row>
    <row r="174" spans="2:11" hidden="1" x14ac:dyDescent="0.25">
      <c r="B174" s="217" t="s">
        <v>161</v>
      </c>
      <c r="C174" s="222"/>
      <c r="D174" s="214" t="s">
        <v>163</v>
      </c>
      <c r="E174" s="214" t="s">
        <v>145</v>
      </c>
      <c r="F174" s="223" t="s">
        <v>159</v>
      </c>
      <c r="G174" s="221"/>
      <c r="H174" s="224">
        <f>IFERROR(VLOOKUP(G174,[13]Sheet1!$A$15:$AE$37,29,0),0)</f>
        <v>0</v>
      </c>
      <c r="K174" s="214"/>
    </row>
    <row r="175" spans="2:11" hidden="1" x14ac:dyDescent="0.25">
      <c r="B175" s="217" t="s">
        <v>162</v>
      </c>
      <c r="C175" s="222"/>
      <c r="D175" s="214" t="s">
        <v>164</v>
      </c>
      <c r="E175" s="214" t="s">
        <v>165</v>
      </c>
      <c r="F175" s="223" t="s">
        <v>159</v>
      </c>
      <c r="G175" s="221"/>
      <c r="H175" s="224">
        <f>IFERROR(VLOOKUP(G175,[13]Sheet1!$A$15:$AE$37,29,0),0)</f>
        <v>0</v>
      </c>
      <c r="K175" s="214"/>
    </row>
    <row r="176" spans="2:11" hidden="1" x14ac:dyDescent="0.25">
      <c r="B176" s="217" t="s">
        <v>167</v>
      </c>
      <c r="C176" s="222"/>
      <c r="D176" s="214" t="s">
        <v>170</v>
      </c>
      <c r="E176" s="214" t="s">
        <v>153</v>
      </c>
      <c r="F176" s="223" t="s">
        <v>159</v>
      </c>
      <c r="G176" s="221"/>
      <c r="H176" s="224">
        <f>IFERROR(VLOOKUP(G176,[13]Sheet1!$A$15:$AE$37,29,0),0)</f>
        <v>0</v>
      </c>
      <c r="K176" s="214"/>
    </row>
    <row r="177" spans="2:12" hidden="1" x14ac:dyDescent="0.25">
      <c r="B177" s="217" t="s">
        <v>169</v>
      </c>
      <c r="C177" s="222"/>
      <c r="D177" s="214" t="s">
        <v>171</v>
      </c>
      <c r="E177" s="214" t="s">
        <v>124</v>
      </c>
      <c r="F177" s="223" t="s">
        <v>159</v>
      </c>
      <c r="G177" s="221"/>
      <c r="H177" s="224">
        <f>IFERROR(VLOOKUP(G177,[13]Sheet1!$A$15:$AE$37,29,0),0)</f>
        <v>0</v>
      </c>
      <c r="K177" s="214"/>
    </row>
    <row r="178" spans="2:12" hidden="1" x14ac:dyDescent="0.25">
      <c r="B178" s="217" t="s">
        <v>173</v>
      </c>
      <c r="C178" s="222"/>
      <c r="D178" s="214" t="s">
        <v>176</v>
      </c>
      <c r="E178" s="214" t="s">
        <v>126</v>
      </c>
      <c r="F178" s="223" t="s">
        <v>177</v>
      </c>
      <c r="G178" s="221"/>
      <c r="H178" s="224"/>
      <c r="K178" s="214"/>
    </row>
    <row r="179" spans="2:12" hidden="1" x14ac:dyDescent="0.25">
      <c r="B179" s="217" t="s">
        <v>179</v>
      </c>
      <c r="C179" s="222"/>
      <c r="D179" s="214" t="s">
        <v>182</v>
      </c>
      <c r="E179" s="214" t="s">
        <v>165</v>
      </c>
      <c r="F179" s="223" t="s">
        <v>159</v>
      </c>
      <c r="G179" s="221"/>
      <c r="H179" s="224">
        <f>IFERROR(VLOOKUP(G179,[14]Sheet1!$A$15:$AE$43,29,0),0)</f>
        <v>0</v>
      </c>
      <c r="K179" s="214"/>
    </row>
    <row r="180" spans="2:12" hidden="1" x14ac:dyDescent="0.25">
      <c r="B180" s="217" t="s">
        <v>180</v>
      </c>
      <c r="C180" s="222"/>
      <c r="D180" s="214" t="s">
        <v>183</v>
      </c>
      <c r="E180" s="214" t="s">
        <v>185</v>
      </c>
      <c r="F180" s="223" t="s">
        <v>159</v>
      </c>
      <c r="G180" s="221"/>
      <c r="H180" s="224">
        <f>IFERROR(VLOOKUP(G180,[14]Sheet1!$A$15:$AE$43,29,0),0)</f>
        <v>0</v>
      </c>
      <c r="K180" s="214"/>
    </row>
    <row r="181" spans="2:12" hidden="1" x14ac:dyDescent="0.25">
      <c r="B181" s="217" t="s">
        <v>181</v>
      </c>
      <c r="C181" s="222"/>
      <c r="D181" s="214" t="s">
        <v>184</v>
      </c>
      <c r="E181" s="214" t="s">
        <v>165</v>
      </c>
      <c r="F181" s="223" t="s">
        <v>159</v>
      </c>
      <c r="G181" s="221"/>
      <c r="H181" s="224">
        <f>IFERROR(VLOOKUP(G181,[14]Sheet1!$A$15:$AE$43,29,0),0)</f>
        <v>0</v>
      </c>
      <c r="K181" s="214"/>
    </row>
    <row r="182" spans="2:12" hidden="1" x14ac:dyDescent="0.25">
      <c r="B182" s="217" t="s">
        <v>187</v>
      </c>
      <c r="C182" s="222"/>
      <c r="D182" s="214" t="s">
        <v>188</v>
      </c>
      <c r="E182" s="214" t="s">
        <v>133</v>
      </c>
      <c r="F182" s="223" t="s">
        <v>189</v>
      </c>
      <c r="G182" s="221"/>
      <c r="H182" s="224">
        <f>IFERROR(VLOOKUP(G182,[14]Sheet1!$A$15:$AE$43,29,0),0)</f>
        <v>0</v>
      </c>
      <c r="K182" s="214"/>
      <c r="L182" s="238"/>
    </row>
    <row r="183" spans="2:12" hidden="1" x14ac:dyDescent="0.25">
      <c r="B183" s="217" t="s">
        <v>191</v>
      </c>
      <c r="C183" s="222"/>
      <c r="D183" s="214" t="s">
        <v>192</v>
      </c>
      <c r="E183" s="214" t="s">
        <v>126</v>
      </c>
      <c r="F183" s="223" t="s">
        <v>159</v>
      </c>
      <c r="G183" s="221"/>
      <c r="H183" s="224">
        <f>IFERROR(VLOOKUP(G183,[14]Sheet1!$A$15:$AE$43,29,0),0)</f>
        <v>0</v>
      </c>
      <c r="K183" s="214"/>
    </row>
    <row r="184" spans="2:12" hidden="1" x14ac:dyDescent="0.25">
      <c r="B184" s="217" t="s">
        <v>194</v>
      </c>
      <c r="C184" s="222"/>
      <c r="D184" s="214" t="s">
        <v>197</v>
      </c>
      <c r="E184" s="214" t="s">
        <v>133</v>
      </c>
      <c r="F184" s="240" t="s">
        <v>159</v>
      </c>
      <c r="G184" s="221"/>
      <c r="H184" s="224">
        <f>IFERROR(VLOOKUP(G184,[14]Sheet1!$A$15:$AE$43,29,0),0)</f>
        <v>0</v>
      </c>
      <c r="K184" s="214"/>
    </row>
    <row r="185" spans="2:12" ht="3" hidden="1" customHeight="1" x14ac:dyDescent="0.25">
      <c r="B185" s="217" t="s">
        <v>196</v>
      </c>
      <c r="C185" s="222"/>
      <c r="D185" s="214" t="s">
        <v>198</v>
      </c>
      <c r="E185" s="214" t="s">
        <v>199</v>
      </c>
      <c r="F185" s="223" t="s">
        <v>159</v>
      </c>
      <c r="G185" s="221"/>
      <c r="H185" s="224">
        <f>IFERROR(VLOOKUP(G185,[14]Sheet1!$A$15:$AE$43,29,0),0)</f>
        <v>0</v>
      </c>
      <c r="K185" s="214"/>
    </row>
    <row r="186" spans="2:12" hidden="1" x14ac:dyDescent="0.25">
      <c r="B186" s="217" t="s">
        <v>201</v>
      </c>
      <c r="C186" s="222"/>
      <c r="D186" s="214" t="s">
        <v>202</v>
      </c>
      <c r="E186" s="214" t="s">
        <v>124</v>
      </c>
      <c r="F186" s="223" t="s">
        <v>159</v>
      </c>
      <c r="G186" s="221"/>
      <c r="H186" s="224">
        <f>IFERROR(VLOOKUP(G186,[14]Sheet1!$A$15:$AE$43,29,0),0)</f>
        <v>0</v>
      </c>
      <c r="K186" s="214"/>
    </row>
    <row r="187" spans="2:12" hidden="1" x14ac:dyDescent="0.25">
      <c r="B187" s="217" t="s">
        <v>204</v>
      </c>
      <c r="C187" s="222"/>
      <c r="D187" s="214" t="s">
        <v>205</v>
      </c>
      <c r="E187" s="214" t="s">
        <v>199</v>
      </c>
      <c r="F187" s="223"/>
      <c r="G187" s="221"/>
      <c r="H187" s="224"/>
      <c r="K187" s="214"/>
    </row>
    <row r="188" spans="2:12" hidden="1" x14ac:dyDescent="0.25">
      <c r="B188" s="217" t="s">
        <v>207</v>
      </c>
      <c r="C188" s="222"/>
      <c r="D188" s="214" t="s">
        <v>208</v>
      </c>
      <c r="E188" s="214" t="s">
        <v>199</v>
      </c>
      <c r="F188" s="240" t="s">
        <v>159</v>
      </c>
      <c r="G188" s="221"/>
      <c r="H188" s="224"/>
      <c r="K188" s="214"/>
    </row>
    <row r="189" spans="2:12" hidden="1" x14ac:dyDescent="0.25">
      <c r="B189" s="217" t="s">
        <v>213</v>
      </c>
      <c r="C189" s="222"/>
      <c r="D189" s="214" t="s">
        <v>211</v>
      </c>
      <c r="E189" s="214" t="s">
        <v>145</v>
      </c>
      <c r="F189" s="240" t="s">
        <v>248</v>
      </c>
      <c r="G189" s="221"/>
      <c r="H189" s="224">
        <f>IFERROR(VLOOKUP(G189,[15]Sheet1!$A$15:$AE$27,29,0),0)</f>
        <v>0</v>
      </c>
      <c r="K189" s="214"/>
    </row>
    <row r="190" spans="2:12" hidden="1" x14ac:dyDescent="0.25">
      <c r="B190" s="217" t="s">
        <v>214</v>
      </c>
      <c r="C190" s="222"/>
      <c r="D190" s="214" t="s">
        <v>212</v>
      </c>
      <c r="E190" s="214" t="s">
        <v>124</v>
      </c>
      <c r="F190" s="240" t="s">
        <v>159</v>
      </c>
      <c r="G190" s="221"/>
      <c r="H190" s="224">
        <f>IFERROR(VLOOKUP(G190,[15]Sheet1!$A$15:$AE$27,29,0),0)</f>
        <v>0</v>
      </c>
      <c r="K190" s="214"/>
    </row>
    <row r="191" spans="2:12" hidden="1" x14ac:dyDescent="0.25">
      <c r="B191" s="217" t="s">
        <v>215</v>
      </c>
      <c r="C191" s="222"/>
      <c r="D191" s="214" t="s">
        <v>216</v>
      </c>
      <c r="E191" s="214" t="s">
        <v>185</v>
      </c>
      <c r="F191" s="223" t="s">
        <v>189</v>
      </c>
      <c r="G191" s="221"/>
      <c r="H191" s="224">
        <f>IFERROR(VLOOKUP(G191,[15]Sheet1!$A$15:$AE$27,29,0),0)</f>
        <v>0</v>
      </c>
      <c r="K191" s="214"/>
    </row>
    <row r="192" spans="2:12" hidden="1" x14ac:dyDescent="0.25">
      <c r="B192" s="217" t="s">
        <v>217</v>
      </c>
      <c r="C192" s="222"/>
      <c r="D192" s="214" t="s">
        <v>221</v>
      </c>
      <c r="E192" s="214" t="s">
        <v>124</v>
      </c>
      <c r="F192" s="240" t="s">
        <v>159</v>
      </c>
      <c r="G192" s="221"/>
      <c r="H192" s="224">
        <f>IFERROR(VLOOKUP(G192,[15]Sheet1!$A$15:$AE$27,29,0),0)</f>
        <v>0</v>
      </c>
      <c r="K192" s="214"/>
    </row>
    <row r="193" spans="2:11" hidden="1" x14ac:dyDescent="0.25">
      <c r="B193" s="217" t="s">
        <v>219</v>
      </c>
      <c r="C193" s="222"/>
      <c r="D193" s="214" t="s">
        <v>222</v>
      </c>
      <c r="E193" s="214" t="s">
        <v>145</v>
      </c>
      <c r="F193" s="240" t="s">
        <v>159</v>
      </c>
      <c r="G193" s="221"/>
      <c r="H193" s="224">
        <f>IFERROR(VLOOKUP(G193,[15]Sheet1!$A$15:$AE$27,29,0),0)</f>
        <v>0</v>
      </c>
      <c r="K193" s="214"/>
    </row>
    <row r="194" spans="2:11" hidden="1" x14ac:dyDescent="0.25">
      <c r="B194" s="217" t="s">
        <v>224</v>
      </c>
      <c r="C194" s="222"/>
      <c r="D194" s="214" t="s">
        <v>225</v>
      </c>
      <c r="E194" s="214" t="s">
        <v>165</v>
      </c>
      <c r="F194" s="240" t="s">
        <v>159</v>
      </c>
      <c r="G194" s="221"/>
      <c r="H194" s="224">
        <f>IFERROR(VLOOKUP(G194,[15]Sheet1!$A$15:$AE$27,29,0),0)</f>
        <v>0</v>
      </c>
      <c r="K194" s="214"/>
    </row>
    <row r="195" spans="2:11" hidden="1" x14ac:dyDescent="0.25">
      <c r="B195" s="241" t="s">
        <v>227</v>
      </c>
      <c r="C195" s="222"/>
      <c r="D195" s="242" t="s">
        <v>231</v>
      </c>
      <c r="E195" s="242" t="s">
        <v>143</v>
      </c>
      <c r="F195" s="240" t="s">
        <v>159</v>
      </c>
      <c r="G195" s="221"/>
      <c r="H195" s="224">
        <f>IFERROR(VLOOKUP(G195,[15]Sheet1!$A$15:$AE$27,29,0),0)</f>
        <v>0</v>
      </c>
      <c r="K195" s="214"/>
    </row>
    <row r="196" spans="2:11" hidden="1" x14ac:dyDescent="0.25">
      <c r="B196" s="241" t="s">
        <v>228</v>
      </c>
      <c r="C196" s="222"/>
      <c r="D196" s="242" t="s">
        <v>230</v>
      </c>
      <c r="E196" s="242" t="s">
        <v>143</v>
      </c>
      <c r="F196" s="240" t="s">
        <v>159</v>
      </c>
      <c r="G196" s="221"/>
      <c r="H196" s="224">
        <f>IFERROR(VLOOKUP(G196,[15]Sheet1!$A$15:$AE$27,29,0),0)</f>
        <v>0</v>
      </c>
      <c r="K196" s="214"/>
    </row>
    <row r="197" spans="2:11" hidden="1" x14ac:dyDescent="0.25">
      <c r="B197" s="241" t="s">
        <v>232</v>
      </c>
      <c r="C197" s="222"/>
      <c r="D197" s="242" t="s">
        <v>233</v>
      </c>
      <c r="E197" s="242" t="s">
        <v>199</v>
      </c>
      <c r="F197" s="240" t="s">
        <v>159</v>
      </c>
      <c r="G197" s="221"/>
      <c r="H197" s="224">
        <f>IFERROR(VLOOKUP(G197,[15]Sheet1!$A$15:$AE$27,29,0),0)</f>
        <v>0</v>
      </c>
      <c r="K197" s="214"/>
    </row>
    <row r="198" spans="2:11" hidden="1" x14ac:dyDescent="0.25">
      <c r="B198" s="241" t="s">
        <v>236</v>
      </c>
      <c r="C198" s="222"/>
      <c r="D198" s="242" t="s">
        <v>238</v>
      </c>
      <c r="E198" s="214" t="s">
        <v>133</v>
      </c>
      <c r="F198" s="240" t="s">
        <v>248</v>
      </c>
      <c r="G198" s="221"/>
      <c r="H198" s="224">
        <f>IFERROR(VLOOKUP(G198,[15]Sheet1!$A$15:$AE$27,29,0),0)</f>
        <v>0</v>
      </c>
      <c r="K198" s="214"/>
    </row>
    <row r="199" spans="2:11" hidden="1" x14ac:dyDescent="0.25">
      <c r="B199" s="241" t="s">
        <v>237</v>
      </c>
      <c r="C199" s="222"/>
      <c r="D199" s="242" t="s">
        <v>239</v>
      </c>
      <c r="E199" s="242" t="s">
        <v>165</v>
      </c>
      <c r="F199" s="240" t="s">
        <v>248</v>
      </c>
      <c r="G199" s="221"/>
      <c r="H199" s="224">
        <f>IFERROR(VLOOKUP(G199,[15]Sheet1!$A$15:$AE$27,29,0),0)</f>
        <v>0</v>
      </c>
      <c r="K199" s="214"/>
    </row>
    <row r="200" spans="2:11" hidden="1" x14ac:dyDescent="0.25">
      <c r="B200" s="241" t="s">
        <v>242</v>
      </c>
      <c r="C200" s="222"/>
      <c r="D200" s="242" t="s">
        <v>244</v>
      </c>
      <c r="E200" s="242" t="s">
        <v>124</v>
      </c>
      <c r="F200" s="240" t="s">
        <v>159</v>
      </c>
      <c r="G200" s="221"/>
      <c r="H200" s="224">
        <f>IFERROR(VLOOKUP(G200,[15]Sheet1!$A$15:$AE$27,29,0),0)</f>
        <v>0</v>
      </c>
      <c r="K200" s="214"/>
    </row>
    <row r="201" spans="2:11" hidden="1" x14ac:dyDescent="0.25">
      <c r="B201" s="241" t="s">
        <v>243</v>
      </c>
      <c r="C201" s="222"/>
      <c r="D201" s="242" t="s">
        <v>245</v>
      </c>
      <c r="E201" s="242" t="s">
        <v>119</v>
      </c>
      <c r="F201" s="240" t="s">
        <v>159</v>
      </c>
      <c r="G201" s="221"/>
      <c r="H201" s="224">
        <f>IFERROR(VLOOKUP(G201,[15]Sheet1!$A$15:$AE$27,29,0),0)</f>
        <v>0</v>
      </c>
      <c r="K201" s="214"/>
    </row>
    <row r="202" spans="2:11" hidden="1" x14ac:dyDescent="0.25">
      <c r="B202" s="241" t="s">
        <v>250</v>
      </c>
      <c r="C202" s="222"/>
      <c r="D202" s="242" t="s">
        <v>251</v>
      </c>
      <c r="E202" s="214" t="s">
        <v>145</v>
      </c>
      <c r="F202" s="240" t="s">
        <v>159</v>
      </c>
      <c r="G202" s="221"/>
      <c r="H202" s="224">
        <f>IFERROR(VLOOKUP(G202,[15]Sheet1!$A$15:$AE$27,29,0),0)</f>
        <v>0</v>
      </c>
      <c r="K202" s="214"/>
    </row>
    <row r="203" spans="2:11" hidden="1" x14ac:dyDescent="0.25">
      <c r="B203" s="241" t="s">
        <v>252</v>
      </c>
      <c r="C203" s="222"/>
      <c r="D203" s="242" t="s">
        <v>253</v>
      </c>
      <c r="E203" s="242" t="s">
        <v>133</v>
      </c>
      <c r="F203" s="240" t="s">
        <v>159</v>
      </c>
      <c r="G203" s="221"/>
      <c r="H203" s="224">
        <f>IFERROR(VLOOKUP(G203,[15]Sheet1!$A$15:$AE$27,29,0),0)</f>
        <v>0</v>
      </c>
      <c r="K203" s="214"/>
    </row>
    <row r="204" spans="2:11" hidden="1" x14ac:dyDescent="0.25">
      <c r="B204" s="241" t="s">
        <v>256</v>
      </c>
      <c r="C204" s="222"/>
      <c r="D204" s="242" t="s">
        <v>258</v>
      </c>
      <c r="E204" s="242" t="s">
        <v>145</v>
      </c>
      <c r="F204" s="240" t="s">
        <v>159</v>
      </c>
      <c r="G204" s="221"/>
      <c r="H204" s="224">
        <f>IFERROR(VLOOKUP(G204,[15]Sheet1!$A$15:$AE$27,29,0),0)</f>
        <v>0</v>
      </c>
      <c r="K204" s="214"/>
    </row>
    <row r="205" spans="2:11" hidden="1" x14ac:dyDescent="0.25">
      <c r="B205" s="241" t="s">
        <v>260</v>
      </c>
      <c r="C205" s="222"/>
      <c r="D205" s="242" t="s">
        <v>261</v>
      </c>
      <c r="E205" s="242" t="s">
        <v>133</v>
      </c>
      <c r="F205" s="240" t="s">
        <v>159</v>
      </c>
      <c r="G205" s="221"/>
      <c r="H205" s="224">
        <f>IFERROR(VLOOKUP(G205,[15]Sheet1!$A$15:$AE$27,29,0),0)</f>
        <v>0</v>
      </c>
      <c r="K205" s="214"/>
    </row>
    <row r="206" spans="2:11" hidden="1" x14ac:dyDescent="0.25">
      <c r="B206" s="241" t="s">
        <v>263</v>
      </c>
      <c r="C206" s="222"/>
      <c r="D206" s="242" t="s">
        <v>264</v>
      </c>
      <c r="E206" s="242" t="s">
        <v>185</v>
      </c>
      <c r="F206" s="240" t="s">
        <v>159</v>
      </c>
      <c r="G206" s="221"/>
      <c r="H206" s="224">
        <f>IFERROR(VLOOKUP(G206,[15]Sheet1!$A$15:$AE$27,29,0),0)</f>
        <v>0</v>
      </c>
      <c r="K206" s="214"/>
    </row>
    <row r="207" spans="2:11" hidden="1" x14ac:dyDescent="0.25">
      <c r="B207" s="241" t="s">
        <v>266</v>
      </c>
      <c r="C207" s="222"/>
      <c r="D207" s="242" t="str">
        <f>+"Folio "&amp;G207</f>
        <v xml:space="preserve">Folio </v>
      </c>
      <c r="E207" s="242" t="s">
        <v>199</v>
      </c>
      <c r="F207" s="240" t="s">
        <v>159</v>
      </c>
      <c r="G207" s="221"/>
      <c r="H207" s="224">
        <f>IFERROR(VLOOKUP(G207,[15]Sheet1!$A$15:$AE$27,29,0),0)</f>
        <v>0</v>
      </c>
      <c r="K207" s="214"/>
    </row>
    <row r="208" spans="2:11" hidden="1" x14ac:dyDescent="0.25">
      <c r="B208" s="241" t="s">
        <v>267</v>
      </c>
      <c r="C208" s="222"/>
      <c r="D208" s="242" t="str">
        <f>+"Folio "&amp;G208</f>
        <v xml:space="preserve">Folio </v>
      </c>
      <c r="E208" s="242" t="s">
        <v>133</v>
      </c>
      <c r="F208" s="240" t="s">
        <v>159</v>
      </c>
      <c r="G208" s="221"/>
      <c r="H208" s="224">
        <f>IFERROR(VLOOKUP(G208,[15]Sheet1!$A$15:$AE$27,29,0),0)</f>
        <v>0</v>
      </c>
      <c r="K208" s="214"/>
    </row>
    <row r="209" spans="2:11" hidden="1" x14ac:dyDescent="0.25">
      <c r="B209" s="241" t="s">
        <v>268</v>
      </c>
      <c r="C209" s="222"/>
      <c r="D209" s="242" t="str">
        <f>+"Folio "&amp;G209</f>
        <v xml:space="preserve">Folio </v>
      </c>
      <c r="E209" s="214" t="s">
        <v>145</v>
      </c>
      <c r="F209" s="240" t="s">
        <v>159</v>
      </c>
      <c r="G209" s="221"/>
      <c r="H209" s="224">
        <f>IFERROR(VLOOKUP(G209,[15]Sheet1!$A$15:$AE$27,29,0),0)</f>
        <v>0</v>
      </c>
      <c r="K209" s="214"/>
    </row>
    <row r="210" spans="2:11" hidden="1" x14ac:dyDescent="0.25">
      <c r="B210" s="241" t="s">
        <v>269</v>
      </c>
      <c r="C210" s="222"/>
      <c r="D210" s="242" t="str">
        <f t="shared" ref="D210:D230" si="5">+"Folio "&amp;G210</f>
        <v xml:space="preserve">Folio </v>
      </c>
      <c r="E210" s="242" t="s">
        <v>153</v>
      </c>
      <c r="F210" s="240" t="s">
        <v>159</v>
      </c>
      <c r="G210" s="221"/>
      <c r="H210" s="224">
        <f>IFERROR(VLOOKUP(G210,[15]Sheet1!$A$15:$AE$27,29,0),0)</f>
        <v>0</v>
      </c>
      <c r="K210" s="214"/>
    </row>
    <row r="211" spans="2:11" hidden="1" x14ac:dyDescent="0.25">
      <c r="B211" s="241" t="s">
        <v>270</v>
      </c>
      <c r="C211" s="222"/>
      <c r="D211" s="242" t="str">
        <f t="shared" si="5"/>
        <v xml:space="preserve">Folio </v>
      </c>
      <c r="E211" s="242" t="s">
        <v>133</v>
      </c>
      <c r="F211" s="240" t="s">
        <v>159</v>
      </c>
      <c r="G211" s="221"/>
      <c r="H211" s="224">
        <f>IFERROR(VLOOKUP(G211,[15]Sheet1!$A$15:$AE$27,29,0),0)</f>
        <v>0</v>
      </c>
      <c r="K211" s="214"/>
    </row>
    <row r="212" spans="2:11" hidden="1" x14ac:dyDescent="0.25">
      <c r="B212" s="241" t="s">
        <v>271</v>
      </c>
      <c r="C212" s="222"/>
      <c r="D212" s="242" t="str">
        <f t="shared" si="5"/>
        <v xml:space="preserve">Folio </v>
      </c>
      <c r="E212" s="242" t="s">
        <v>153</v>
      </c>
      <c r="F212" s="240" t="s">
        <v>159</v>
      </c>
      <c r="G212" s="221"/>
      <c r="H212" s="224">
        <f>IFERROR(VLOOKUP(G212,[15]Sheet1!$A$15:$AE$27,29,0),0)</f>
        <v>0</v>
      </c>
      <c r="K212" s="214"/>
    </row>
    <row r="213" spans="2:11" hidden="1" x14ac:dyDescent="0.25">
      <c r="B213" s="241" t="s">
        <v>272</v>
      </c>
      <c r="C213" s="222"/>
      <c r="D213" s="242" t="str">
        <f t="shared" si="5"/>
        <v xml:space="preserve">Folio </v>
      </c>
      <c r="E213" s="242" t="s">
        <v>133</v>
      </c>
      <c r="F213" s="240" t="s">
        <v>159</v>
      </c>
      <c r="G213" s="221"/>
      <c r="H213" s="224">
        <f>IFERROR(VLOOKUP(G213,[15]Sheet1!$A$15:$AE$27,29,0),0)</f>
        <v>0</v>
      </c>
      <c r="K213" s="214"/>
    </row>
    <row r="214" spans="2:11" hidden="1" x14ac:dyDescent="0.25">
      <c r="B214" s="241" t="s">
        <v>273</v>
      </c>
      <c r="C214" s="222"/>
      <c r="D214" s="242" t="str">
        <f t="shared" si="5"/>
        <v xml:space="preserve">Folio </v>
      </c>
      <c r="E214" s="242" t="s">
        <v>133</v>
      </c>
      <c r="F214" s="240" t="s">
        <v>159</v>
      </c>
      <c r="G214" s="221"/>
      <c r="H214" s="224">
        <f>IFERROR(VLOOKUP(G214,[15]Sheet1!$A$15:$AE$27,29,0),0)</f>
        <v>0</v>
      </c>
      <c r="K214" s="214"/>
    </row>
    <row r="215" spans="2:11" hidden="1" x14ac:dyDescent="0.25">
      <c r="B215" s="241" t="s">
        <v>275</v>
      </c>
      <c r="C215" s="222"/>
      <c r="D215" s="242" t="str">
        <f t="shared" si="5"/>
        <v xml:space="preserve">Folio </v>
      </c>
      <c r="E215" s="242" t="s">
        <v>133</v>
      </c>
      <c r="F215" s="240" t="s">
        <v>159</v>
      </c>
      <c r="G215" s="221"/>
      <c r="H215" s="224">
        <f>IFERROR(VLOOKUP(G215,[15]Sheet1!$A$15:$AE$27,29,0),0)</f>
        <v>0</v>
      </c>
      <c r="K215" s="214"/>
    </row>
    <row r="216" spans="2:11" hidden="1" x14ac:dyDescent="0.25">
      <c r="B216" s="241" t="s">
        <v>276</v>
      </c>
      <c r="C216" s="222"/>
      <c r="D216" s="242" t="str">
        <f t="shared" si="5"/>
        <v xml:space="preserve">Folio </v>
      </c>
      <c r="E216" s="242" t="s">
        <v>153</v>
      </c>
      <c r="F216" s="240" t="s">
        <v>159</v>
      </c>
      <c r="G216" s="221"/>
      <c r="H216" s="224"/>
      <c r="K216" s="214"/>
    </row>
    <row r="217" spans="2:11" hidden="1" x14ac:dyDescent="0.25">
      <c r="B217" s="241" t="s">
        <v>281</v>
      </c>
      <c r="C217" s="222"/>
      <c r="D217" s="242" t="str">
        <f t="shared" si="5"/>
        <v xml:space="preserve">Folio </v>
      </c>
      <c r="E217" s="242" t="s">
        <v>133</v>
      </c>
      <c r="F217" s="240"/>
      <c r="G217" s="221"/>
      <c r="H217" s="224"/>
      <c r="K217" s="214"/>
    </row>
    <row r="218" spans="2:11" hidden="1" x14ac:dyDescent="0.25">
      <c r="B218" s="241" t="s">
        <v>282</v>
      </c>
      <c r="C218" s="222"/>
      <c r="D218" s="242" t="str">
        <f t="shared" si="5"/>
        <v xml:space="preserve">Folio </v>
      </c>
      <c r="E218" s="242" t="s">
        <v>124</v>
      </c>
      <c r="F218" s="240"/>
      <c r="G218" s="221"/>
      <c r="H218" s="224"/>
      <c r="K218" s="214"/>
    </row>
    <row r="219" spans="2:11" hidden="1" x14ac:dyDescent="0.25">
      <c r="B219" s="241" t="s">
        <v>285</v>
      </c>
      <c r="C219" s="222"/>
      <c r="D219" s="242" t="str">
        <f t="shared" si="5"/>
        <v xml:space="preserve">Folio </v>
      </c>
      <c r="E219" s="242" t="s">
        <v>124</v>
      </c>
      <c r="F219" s="240"/>
      <c r="G219" s="221"/>
      <c r="H219" s="224"/>
      <c r="K219" s="214"/>
    </row>
    <row r="220" spans="2:11" hidden="1" x14ac:dyDescent="0.25">
      <c r="B220" s="241" t="s">
        <v>286</v>
      </c>
      <c r="C220" s="222"/>
      <c r="D220" s="242" t="str">
        <f t="shared" si="5"/>
        <v xml:space="preserve">Folio </v>
      </c>
      <c r="E220" s="214" t="s">
        <v>145</v>
      </c>
      <c r="F220" s="240"/>
      <c r="G220" s="221"/>
      <c r="H220" s="224"/>
      <c r="K220" s="214"/>
    </row>
    <row r="221" spans="2:11" hidden="1" x14ac:dyDescent="0.25">
      <c r="B221" s="241" t="s">
        <v>288</v>
      </c>
      <c r="C221" s="222"/>
      <c r="D221" s="242" t="str">
        <f t="shared" si="5"/>
        <v xml:space="preserve">Folio </v>
      </c>
      <c r="E221" s="242" t="s">
        <v>126</v>
      </c>
      <c r="F221" s="240" t="s">
        <v>159</v>
      </c>
      <c r="G221" s="221"/>
      <c r="H221" s="224"/>
      <c r="K221" s="214"/>
    </row>
    <row r="222" spans="2:11" hidden="1" x14ac:dyDescent="0.25">
      <c r="B222" s="241" t="s">
        <v>256</v>
      </c>
      <c r="C222" s="222"/>
      <c r="D222" s="242" t="str">
        <f t="shared" si="5"/>
        <v xml:space="preserve">Folio </v>
      </c>
      <c r="E222" s="242" t="s">
        <v>124</v>
      </c>
      <c r="F222" s="240" t="s">
        <v>159</v>
      </c>
      <c r="G222" s="221"/>
      <c r="H222" s="224"/>
      <c r="K222" s="214"/>
    </row>
    <row r="223" spans="2:11" hidden="1" x14ac:dyDescent="0.25">
      <c r="B223" s="241" t="s">
        <v>191</v>
      </c>
      <c r="C223" s="222"/>
      <c r="D223" s="242" t="str">
        <f t="shared" si="5"/>
        <v xml:space="preserve">Folio </v>
      </c>
      <c r="E223" s="242" t="s">
        <v>199</v>
      </c>
      <c r="F223" s="240" t="s">
        <v>159</v>
      </c>
      <c r="G223" s="221"/>
      <c r="H223" s="224"/>
      <c r="K223" s="214"/>
    </row>
    <row r="224" spans="2:11" hidden="1" x14ac:dyDescent="0.25">
      <c r="B224" s="241" t="s">
        <v>217</v>
      </c>
      <c r="C224" s="222"/>
      <c r="D224" s="242" t="str">
        <f t="shared" si="5"/>
        <v xml:space="preserve">Folio </v>
      </c>
      <c r="E224" s="242" t="s">
        <v>124</v>
      </c>
      <c r="F224" s="240" t="s">
        <v>159</v>
      </c>
      <c r="G224" s="221"/>
      <c r="H224" s="224"/>
      <c r="K224" s="214"/>
    </row>
    <row r="225" spans="2:11" hidden="1" x14ac:dyDescent="0.25">
      <c r="B225" s="241" t="s">
        <v>236</v>
      </c>
      <c r="C225" s="222"/>
      <c r="D225" s="242" t="str">
        <f t="shared" si="5"/>
        <v xml:space="preserve">Folio </v>
      </c>
      <c r="E225" s="242" t="s">
        <v>119</v>
      </c>
      <c r="F225" s="240" t="s">
        <v>159</v>
      </c>
      <c r="G225" s="221"/>
      <c r="H225" s="224"/>
      <c r="K225" s="214"/>
    </row>
    <row r="226" spans="2:11" x14ac:dyDescent="0.25">
      <c r="B226" s="241" t="s">
        <v>237</v>
      </c>
      <c r="C226" s="222"/>
      <c r="D226" s="242" t="str">
        <f t="shared" si="5"/>
        <v>Folio 80982</v>
      </c>
      <c r="E226" s="242" t="s">
        <v>133</v>
      </c>
      <c r="F226" s="240" t="s">
        <v>294</v>
      </c>
      <c r="G226" s="221">
        <f>+G149</f>
        <v>80982</v>
      </c>
      <c r="H226" s="224">
        <f>IFERROR(VLOOKUP(G226,[16]Sheet1!$A$15:$AE$35,29,0),0)</f>
        <v>1453403.8366999999</v>
      </c>
      <c r="K226" s="214"/>
    </row>
    <row r="227" spans="2:11" x14ac:dyDescent="0.25">
      <c r="B227" s="241" t="s">
        <v>242</v>
      </c>
      <c r="C227" s="222"/>
      <c r="D227" s="242" t="str">
        <f t="shared" si="5"/>
        <v>Folio 80806</v>
      </c>
      <c r="E227" s="242" t="s">
        <v>133</v>
      </c>
      <c r="F227" s="240" t="s">
        <v>326</v>
      </c>
      <c r="G227" s="221">
        <f t="shared" ref="G227:G233" si="6">+G151</f>
        <v>80806</v>
      </c>
      <c r="H227" s="224">
        <f>IFERROR(VLOOKUP(G227,[16]Sheet1!$A$15:$AE$35,29,0),0)</f>
        <v>968313.68310000002</v>
      </c>
      <c r="K227" s="214"/>
    </row>
    <row r="228" spans="2:11" x14ac:dyDescent="0.25">
      <c r="B228" s="241" t="s">
        <v>243</v>
      </c>
      <c r="C228" s="222"/>
      <c r="D228" s="242" t="str">
        <f t="shared" si="5"/>
        <v>Folio 80477</v>
      </c>
      <c r="E228" s="242" t="s">
        <v>153</v>
      </c>
      <c r="F228" s="240" t="s">
        <v>327</v>
      </c>
      <c r="G228" s="221">
        <f t="shared" si="6"/>
        <v>80477</v>
      </c>
      <c r="H228" s="224">
        <f>IFERROR(VLOOKUP(G228,[16]Sheet1!$A$15:$AE$35,29,0),0)</f>
        <v>2580967.5747000002</v>
      </c>
      <c r="K228" s="214"/>
    </row>
    <row r="229" spans="2:11" x14ac:dyDescent="0.25">
      <c r="B229" s="241" t="s">
        <v>250</v>
      </c>
      <c r="C229" s="222"/>
      <c r="D229" s="242" t="str">
        <f t="shared" si="5"/>
        <v>Folio 80718</v>
      </c>
      <c r="E229" s="242" t="s">
        <v>143</v>
      </c>
      <c r="F229" s="240" t="s">
        <v>329</v>
      </c>
      <c r="G229" s="221">
        <f t="shared" si="6"/>
        <v>80718</v>
      </c>
      <c r="H229" s="224">
        <f>IFERROR(VLOOKUP(G229,[16]Sheet1!$A$15:$AE$35,29,0),0)</f>
        <v>2665967.2319999998</v>
      </c>
      <c r="K229" s="214"/>
    </row>
    <row r="230" spans="2:11" x14ac:dyDescent="0.25">
      <c r="B230" s="241" t="s">
        <v>252</v>
      </c>
      <c r="C230" s="222"/>
      <c r="D230" s="242" t="str">
        <f t="shared" si="5"/>
        <v>Folio 80585</v>
      </c>
      <c r="E230" s="242" t="s">
        <v>126</v>
      </c>
      <c r="F230" s="240" t="s">
        <v>332</v>
      </c>
      <c r="G230" s="221">
        <f t="shared" si="6"/>
        <v>80585</v>
      </c>
      <c r="H230" s="224">
        <f>IFERROR(VLOOKUP(G230,[16]Sheet1!$A$15:$AE$35,29,0),0)</f>
        <v>726075.81720000005</v>
      </c>
      <c r="K230" s="214"/>
    </row>
    <row r="231" spans="2:11" x14ac:dyDescent="0.25">
      <c r="B231" s="241" t="s">
        <v>256</v>
      </c>
      <c r="C231" s="222"/>
      <c r="D231" s="242"/>
      <c r="E231" s="242"/>
      <c r="F231" s="240"/>
      <c r="G231" s="221">
        <f t="shared" si="6"/>
        <v>80837</v>
      </c>
      <c r="H231" s="224">
        <f>IFERROR(VLOOKUP(G231,[16]Sheet1!$A$15:$AE$35,29,0),0)</f>
        <v>2865966.9361</v>
      </c>
      <c r="K231" s="214"/>
    </row>
    <row r="232" spans="2:11" x14ac:dyDescent="0.25">
      <c r="B232" s="241" t="s">
        <v>256</v>
      </c>
      <c r="C232" s="222"/>
      <c r="D232" s="242"/>
      <c r="E232" s="242"/>
      <c r="F232" s="240"/>
      <c r="G232" s="226">
        <f t="shared" si="6"/>
        <v>80851</v>
      </c>
      <c r="H232" s="224">
        <f>IFERROR(VLOOKUP(G232,[16]Sheet1!$A$15:$AE$35,29,0),0)</f>
        <v>1776258.2763999999</v>
      </c>
      <c r="K232" s="214"/>
    </row>
    <row r="233" spans="2:11" x14ac:dyDescent="0.25">
      <c r="B233" s="241"/>
      <c r="C233" s="222"/>
      <c r="D233" s="242"/>
      <c r="E233" s="242"/>
      <c r="F233" s="240"/>
      <c r="G233" s="291">
        <f t="shared" si="6"/>
        <v>80946</v>
      </c>
      <c r="H233" s="224">
        <f>IFERROR(VLOOKUP(G233,[16]Sheet1!$A$15:$AE$35,29,0),0)</f>
        <v>1614877.0218000002</v>
      </c>
      <c r="K233" s="214"/>
    </row>
    <row r="234" spans="2:11" x14ac:dyDescent="0.25">
      <c r="B234" s="217" t="s">
        <v>68</v>
      </c>
      <c r="C234" s="236">
        <f>+F159</f>
        <v>14802654.801353667</v>
      </c>
      <c r="G234" s="291"/>
      <c r="H234" s="224">
        <f>IFERROR(VLOOKUP(G234,[17]Sheet1!$A$15:$AE$38,29,0),0)</f>
        <v>0</v>
      </c>
      <c r="K234" s="230"/>
    </row>
    <row r="235" spans="2:11" x14ac:dyDescent="0.25">
      <c r="B235" s="227" t="s">
        <v>45</v>
      </c>
      <c r="C235" s="228">
        <f>SUM(C164:C234)</f>
        <v>14802654.801353667</v>
      </c>
      <c r="D235" s="214" t="s">
        <v>53</v>
      </c>
      <c r="F235" s="229">
        <f>+C234+C236</f>
        <v>14803671.955827245</v>
      </c>
      <c r="G235" s="237"/>
      <c r="H235" s="296">
        <f>SUM(H226:H234)</f>
        <v>14651830.378</v>
      </c>
      <c r="I235" s="264">
        <v>38687.410000000003</v>
      </c>
      <c r="K235" s="230">
        <f>+I235-F235</f>
        <v>-14764984.545827245</v>
      </c>
    </row>
    <row r="236" spans="2:11" x14ac:dyDescent="0.25">
      <c r="B236" s="232" t="s">
        <v>46</v>
      </c>
      <c r="C236" s="233">
        <f>+'Sintetico MoneyMarket'!A539-'R° Sintetico MM'!C235</f>
        <v>1017.1544735785574</v>
      </c>
      <c r="G236" s="226"/>
      <c r="H236" s="226"/>
    </row>
    <row r="237" spans="2:11" x14ac:dyDescent="0.25">
      <c r="G237" s="226"/>
      <c r="H237" s="226"/>
    </row>
    <row r="238" spans="2:11" hidden="1" x14ac:dyDescent="0.25">
      <c r="G238" s="226"/>
      <c r="H238" s="226"/>
    </row>
    <row r="239" spans="2:11" hidden="1" x14ac:dyDescent="0.25">
      <c r="B239" s="215" t="str">
        <f ca="1">PROPER((TEXT(C239,"DDDD")))</f>
        <v>Lunes</v>
      </c>
      <c r="C239" s="216">
        <f ca="1">TODAY()+2+1</f>
        <v>43241</v>
      </c>
      <c r="G239" s="346" t="s">
        <v>155</v>
      </c>
      <c r="H239" s="346"/>
    </row>
    <row r="240" spans="2:11" hidden="1" x14ac:dyDescent="0.25">
      <c r="B240" s="241" t="s">
        <v>237</v>
      </c>
      <c r="C240" s="222"/>
      <c r="D240" s="242" t="str">
        <f t="shared" ref="D240:D244" si="7">+"Folio "&amp;G240</f>
        <v>Folio 79677</v>
      </c>
      <c r="E240" s="242" t="s">
        <v>133</v>
      </c>
      <c r="F240" s="240" t="s">
        <v>294</v>
      </c>
      <c r="G240" s="221">
        <v>79677</v>
      </c>
      <c r="H240" s="224">
        <v>3307329.6856</v>
      </c>
    </row>
    <row r="241" spans="2:10" hidden="1" x14ac:dyDescent="0.25">
      <c r="B241" s="241" t="s">
        <v>242</v>
      </c>
      <c r="C241" s="222"/>
      <c r="D241" s="242" t="str">
        <f t="shared" si="7"/>
        <v>Folio 80340</v>
      </c>
      <c r="E241" s="242" t="s">
        <v>133</v>
      </c>
      <c r="F241" s="240" t="s">
        <v>326</v>
      </c>
      <c r="G241" s="221">
        <v>80340</v>
      </c>
      <c r="H241" s="224">
        <v>2978350.0852999999</v>
      </c>
    </row>
    <row r="242" spans="2:10" hidden="1" x14ac:dyDescent="0.25">
      <c r="B242" s="241" t="s">
        <v>243</v>
      </c>
      <c r="C242" s="222"/>
      <c r="D242" s="242" t="str">
        <f t="shared" si="7"/>
        <v>Folio 80325</v>
      </c>
      <c r="E242" s="242" t="s">
        <v>153</v>
      </c>
      <c r="F242" s="240" t="s">
        <v>327</v>
      </c>
      <c r="G242" s="221">
        <v>80325</v>
      </c>
      <c r="H242" s="224">
        <v>2637127.7034</v>
      </c>
    </row>
    <row r="243" spans="2:10" hidden="1" x14ac:dyDescent="0.25">
      <c r="B243" s="241" t="s">
        <v>250</v>
      </c>
      <c r="C243" s="222"/>
      <c r="D243" s="242" t="str">
        <f t="shared" si="7"/>
        <v>Folio 80374</v>
      </c>
      <c r="E243" s="242" t="s">
        <v>143</v>
      </c>
      <c r="F243" s="240" t="s">
        <v>329</v>
      </c>
      <c r="G243" s="221">
        <v>80374</v>
      </c>
      <c r="H243" s="224">
        <v>993216.36910000001</v>
      </c>
    </row>
    <row r="244" spans="2:10" hidden="1" x14ac:dyDescent="0.25">
      <c r="B244" s="241" t="s">
        <v>252</v>
      </c>
      <c r="C244" s="222"/>
      <c r="D244" s="242" t="str">
        <f t="shared" si="7"/>
        <v>Folio 80325</v>
      </c>
      <c r="E244" s="242" t="s">
        <v>126</v>
      </c>
      <c r="F244" s="240" t="s">
        <v>332</v>
      </c>
      <c r="G244" s="221">
        <v>80325</v>
      </c>
      <c r="H244" s="224">
        <v>1657175.8547</v>
      </c>
    </row>
    <row r="245" spans="2:10" hidden="1" x14ac:dyDescent="0.25">
      <c r="B245" s="241" t="s">
        <v>256</v>
      </c>
      <c r="C245" s="222"/>
      <c r="D245" s="242"/>
      <c r="E245" s="242"/>
      <c r="F245" s="240"/>
      <c r="G245" s="221"/>
      <c r="H245" s="224">
        <v>3314605.8105000001</v>
      </c>
    </row>
    <row r="246" spans="2:10" hidden="1" x14ac:dyDescent="0.25">
      <c r="B246" s="217" t="s">
        <v>68</v>
      </c>
      <c r="C246" s="236">
        <f>+F235</f>
        <v>14803671.955827245</v>
      </c>
      <c r="D246" s="242"/>
      <c r="F246" s="240"/>
      <c r="I246" s="230"/>
      <c r="J246" s="230"/>
    </row>
    <row r="247" spans="2:10" hidden="1" x14ac:dyDescent="0.25">
      <c r="B247" s="227" t="s">
        <v>45</v>
      </c>
      <c r="C247" s="228">
        <f>SUM(C240:C246)</f>
        <v>14803671.955827245</v>
      </c>
      <c r="D247" s="214" t="s">
        <v>53</v>
      </c>
      <c r="F247" s="229">
        <f>+C246+C248</f>
        <v>14886389.063190982</v>
      </c>
      <c r="I247" s="230">
        <v>-834109.26</v>
      </c>
      <c r="J247" s="230">
        <f>+I247-F247</f>
        <v>-15720498.323190982</v>
      </c>
    </row>
    <row r="248" spans="2:10" hidden="1" x14ac:dyDescent="0.25">
      <c r="B248" s="232" t="s">
        <v>46</v>
      </c>
      <c r="C248" s="233">
        <f>+'Sintetico MoneyMarket'!A497-'R° Sintetico MM'!C247</f>
        <v>82717.107363736257</v>
      </c>
      <c r="D248" s="242"/>
      <c r="E248" s="242"/>
      <c r="F248" s="240"/>
    </row>
    <row r="249" spans="2:10" hidden="1" x14ac:dyDescent="0.25">
      <c r="D249" s="242"/>
      <c r="E249" s="242"/>
      <c r="F249" s="240"/>
    </row>
    <row r="250" spans="2:10" ht="15" hidden="1" customHeight="1" x14ac:dyDescent="0.25">
      <c r="G250" s="226"/>
      <c r="H250" s="226"/>
    </row>
    <row r="251" spans="2:10" ht="15" hidden="1" customHeight="1" x14ac:dyDescent="0.25">
      <c r="B251" s="215" t="str">
        <f ca="1">PROPER((TEXT(C251,"DDDD")))</f>
        <v>Martes</v>
      </c>
      <c r="C251" s="216">
        <f ca="1">TODAY()+2+1+1</f>
        <v>43242</v>
      </c>
      <c r="G251" s="346"/>
      <c r="H251" s="346"/>
    </row>
    <row r="252" spans="2:10" ht="15" hidden="1" customHeight="1" x14ac:dyDescent="0.25">
      <c r="B252" s="217" t="s">
        <v>44</v>
      </c>
      <c r="C252" s="222"/>
      <c r="D252" s="219"/>
      <c r="E252" s="219"/>
      <c r="F252" s="220"/>
      <c r="G252" s="221"/>
      <c r="H252" s="221"/>
    </row>
    <row r="253" spans="2:10" hidden="1" x14ac:dyDescent="0.25">
      <c r="B253" s="217" t="s">
        <v>47</v>
      </c>
      <c r="C253" s="222"/>
      <c r="F253" s="239"/>
      <c r="G253" s="221"/>
      <c r="H253" s="221"/>
    </row>
    <row r="254" spans="2:10" hidden="1" x14ac:dyDescent="0.25">
      <c r="B254" s="217" t="s">
        <v>48</v>
      </c>
      <c r="C254" s="222"/>
      <c r="F254" s="239"/>
      <c r="G254" s="221"/>
      <c r="H254" s="221"/>
    </row>
    <row r="255" spans="2:10" hidden="1" x14ac:dyDescent="0.25">
      <c r="B255" s="217" t="s">
        <v>73</v>
      </c>
      <c r="C255" s="222"/>
      <c r="D255" s="219"/>
      <c r="E255" s="219"/>
      <c r="F255" s="220"/>
      <c r="G255" s="221"/>
      <c r="H255" s="221"/>
    </row>
    <row r="256" spans="2:10" hidden="1" x14ac:dyDescent="0.25">
      <c r="B256" s="217" t="s">
        <v>75</v>
      </c>
      <c r="C256" s="222"/>
      <c r="F256" s="220"/>
      <c r="G256" s="221"/>
      <c r="H256" s="221"/>
    </row>
    <row r="257" spans="2:8" hidden="1" x14ac:dyDescent="0.25">
      <c r="B257" s="217" t="s">
        <v>128</v>
      </c>
      <c r="C257" s="222"/>
      <c r="D257" s="219"/>
      <c r="E257" s="219"/>
      <c r="F257" s="220"/>
      <c r="G257" s="221"/>
      <c r="H257" s="221"/>
    </row>
    <row r="258" spans="2:8" hidden="1" x14ac:dyDescent="0.25">
      <c r="B258" s="217" t="s">
        <v>134</v>
      </c>
      <c r="C258" s="222"/>
      <c r="F258" s="239"/>
      <c r="G258" s="221"/>
      <c r="H258" s="221"/>
    </row>
    <row r="259" spans="2:8" hidden="1" x14ac:dyDescent="0.25">
      <c r="B259" s="217" t="s">
        <v>139</v>
      </c>
      <c r="C259" s="222"/>
      <c r="D259" s="219"/>
      <c r="E259" s="219"/>
      <c r="F259" s="220"/>
      <c r="G259" s="221"/>
      <c r="H259" s="221"/>
    </row>
    <row r="260" spans="2:8" hidden="1" x14ac:dyDescent="0.25">
      <c r="B260" s="217" t="s">
        <v>140</v>
      </c>
      <c r="C260" s="222"/>
      <c r="F260" s="239"/>
      <c r="G260" s="221"/>
      <c r="H260" s="221"/>
    </row>
    <row r="261" spans="2:8" hidden="1" x14ac:dyDescent="0.25">
      <c r="B261" s="217" t="s">
        <v>151</v>
      </c>
      <c r="C261" s="222"/>
      <c r="F261" s="239"/>
      <c r="G261" s="221"/>
      <c r="H261" s="221"/>
    </row>
    <row r="262" spans="2:8" hidden="1" x14ac:dyDescent="0.25">
      <c r="B262" s="217" t="s">
        <v>161</v>
      </c>
      <c r="C262" s="222"/>
      <c r="F262" s="239"/>
      <c r="G262" s="221"/>
      <c r="H262" s="221"/>
    </row>
    <row r="263" spans="2:8" hidden="1" x14ac:dyDescent="0.25">
      <c r="B263" s="217" t="s">
        <v>162</v>
      </c>
      <c r="C263" s="222"/>
      <c r="F263" s="239"/>
      <c r="G263" s="221"/>
      <c r="H263" s="221"/>
    </row>
    <row r="264" spans="2:8" hidden="1" x14ac:dyDescent="0.25">
      <c r="B264" s="217" t="s">
        <v>167</v>
      </c>
      <c r="C264" s="222"/>
      <c r="F264" s="239"/>
      <c r="G264" s="221"/>
      <c r="H264" s="221"/>
    </row>
    <row r="265" spans="2:8" hidden="1" x14ac:dyDescent="0.25">
      <c r="B265" s="217" t="s">
        <v>169</v>
      </c>
      <c r="C265" s="222"/>
      <c r="F265" s="239"/>
      <c r="G265" s="221"/>
      <c r="H265" s="221"/>
    </row>
    <row r="266" spans="2:8" hidden="1" x14ac:dyDescent="0.25">
      <c r="B266" s="217" t="s">
        <v>173</v>
      </c>
      <c r="C266" s="222"/>
      <c r="F266" s="239"/>
      <c r="G266" s="221"/>
      <c r="H266" s="221"/>
    </row>
    <row r="267" spans="2:8" hidden="1" x14ac:dyDescent="0.25">
      <c r="B267" s="217" t="s">
        <v>179</v>
      </c>
      <c r="C267" s="222"/>
      <c r="F267" s="239"/>
      <c r="G267" s="221"/>
      <c r="H267" s="221"/>
    </row>
    <row r="268" spans="2:8" hidden="1" x14ac:dyDescent="0.25">
      <c r="B268" s="217" t="s">
        <v>180</v>
      </c>
      <c r="C268" s="222"/>
      <c r="F268" s="239"/>
      <c r="G268" s="221"/>
      <c r="H268" s="221"/>
    </row>
    <row r="269" spans="2:8" hidden="1" x14ac:dyDescent="0.25">
      <c r="B269" s="217" t="s">
        <v>181</v>
      </c>
      <c r="C269" s="222"/>
      <c r="F269" s="239"/>
      <c r="G269" s="221"/>
      <c r="H269" s="221"/>
    </row>
    <row r="270" spans="2:8" hidden="1" x14ac:dyDescent="0.25">
      <c r="B270" s="217" t="s">
        <v>187</v>
      </c>
      <c r="C270" s="222"/>
      <c r="F270" s="239"/>
      <c r="G270" s="221"/>
      <c r="H270" s="221"/>
    </row>
    <row r="271" spans="2:8" hidden="1" x14ac:dyDescent="0.25">
      <c r="B271" s="217" t="s">
        <v>191</v>
      </c>
      <c r="C271" s="222"/>
      <c r="F271" s="239"/>
      <c r="G271" s="221"/>
      <c r="H271" s="221"/>
    </row>
    <row r="272" spans="2:8" hidden="1" x14ac:dyDescent="0.25">
      <c r="B272" s="217" t="s">
        <v>68</v>
      </c>
      <c r="C272" s="236">
        <f>+F247</f>
        <v>14886389.063190982</v>
      </c>
    </row>
    <row r="273" spans="2:7" hidden="1" x14ac:dyDescent="0.25">
      <c r="B273" s="227" t="s">
        <v>45</v>
      </c>
      <c r="C273" s="228">
        <f>SUM(C252:C272)</f>
        <v>14886389.063190982</v>
      </c>
      <c r="F273" s="229"/>
      <c r="G273" s="231"/>
    </row>
    <row r="274" spans="2:7" hidden="1" x14ac:dyDescent="0.25">
      <c r="B274" s="232" t="s">
        <v>46</v>
      </c>
      <c r="C274" s="233">
        <f>+'Sintetico MoneyMarket'!A303-'R° Sintetico MM'!C273</f>
        <v>10303721.235657807</v>
      </c>
    </row>
    <row r="275" spans="2:7" hidden="1" x14ac:dyDescent="0.25"/>
    <row r="276" spans="2:7" hidden="1" x14ac:dyDescent="0.25"/>
    <row r="277" spans="2:7" hidden="1" x14ac:dyDescent="0.25"/>
  </sheetData>
  <mergeCells count="6">
    <mergeCell ref="G251:H251"/>
    <mergeCell ref="B3:C3"/>
    <mergeCell ref="G4:H4"/>
    <mergeCell ref="G86:H86"/>
    <mergeCell ref="G163:H163"/>
    <mergeCell ref="G239:H239"/>
  </mergeCells>
  <conditionalFormatting sqref="C4">
    <cfRule type="timePeriod" dxfId="27" priority="1" timePeriod="lastWeek">
      <formula>AND(TODAY()-ROUNDDOWN(C4,0)&gt;=(WEEKDAY(TODAY())),TODAY()-ROUNDDOWN(C4,0)&lt;(WEEKDAY(TODAY())+7))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/>
  <dimension ref="A1:MV627"/>
  <sheetViews>
    <sheetView topLeftCell="A530" zoomScale="80" zoomScaleNormal="80" workbookViewId="0">
      <selection activeCell="B542" sqref="B542"/>
    </sheetView>
  </sheetViews>
  <sheetFormatPr baseColWidth="10" defaultRowHeight="15" x14ac:dyDescent="0.25"/>
  <cols>
    <col min="1" max="1" width="17.85546875" customWidth="1"/>
    <col min="2" max="2" width="11.42578125" customWidth="1"/>
    <col min="3" max="3" width="1.42578125" style="6" customWidth="1"/>
    <col min="4" max="4" width="9.42578125" hidden="1" customWidth="1"/>
    <col min="5" max="5" width="18" hidden="1" customWidth="1"/>
    <col min="6" max="6" width="15.7109375" hidden="1" customWidth="1"/>
    <col min="7" max="7" width="16" hidden="1" customWidth="1"/>
    <col min="8" max="8" width="1.42578125" style="6" hidden="1" customWidth="1"/>
    <col min="9" max="9" width="9.5703125" hidden="1" customWidth="1"/>
    <col min="10" max="10" width="19.140625" hidden="1" customWidth="1"/>
    <col min="11" max="11" width="17.85546875" hidden="1" customWidth="1"/>
    <col min="12" max="12" width="16" hidden="1" customWidth="1"/>
    <col min="13" max="13" width="1.7109375" style="6" hidden="1" customWidth="1"/>
    <col min="14" max="14" width="9.5703125" style="36" hidden="1" customWidth="1"/>
    <col min="15" max="15" width="19.140625" style="36" hidden="1" customWidth="1"/>
    <col min="16" max="16" width="17.85546875" style="36" hidden="1" customWidth="1"/>
    <col min="17" max="17" width="16" style="36" hidden="1" customWidth="1"/>
    <col min="18" max="18" width="11.42578125" hidden="1" customWidth="1"/>
    <col min="19" max="19" width="1.85546875" style="64" hidden="1" customWidth="1"/>
    <col min="20" max="20" width="17.85546875" style="36" hidden="1" customWidth="1"/>
    <col min="21" max="21" width="11.42578125" style="36" hidden="1" customWidth="1"/>
    <col min="22" max="22" width="1.42578125" style="6" hidden="1" customWidth="1"/>
    <col min="23" max="23" width="9.42578125" style="36" hidden="1" customWidth="1"/>
    <col min="24" max="24" width="18" style="36" hidden="1" customWidth="1"/>
    <col min="25" max="25" width="15.7109375" style="36" hidden="1" customWidth="1"/>
    <col min="26" max="26" width="16" style="36" hidden="1" customWidth="1"/>
    <col min="27" max="27" width="1.42578125" style="6" hidden="1" customWidth="1"/>
    <col min="28" max="28" width="9.5703125" style="36" hidden="1" customWidth="1"/>
    <col min="29" max="29" width="19.140625" style="36" hidden="1" customWidth="1"/>
    <col min="30" max="30" width="17.85546875" style="36" hidden="1" customWidth="1"/>
    <col min="31" max="31" width="16" style="36" hidden="1" customWidth="1"/>
    <col min="32" max="32" width="1.7109375" style="6" hidden="1" customWidth="1"/>
    <col min="33" max="33" width="9.5703125" style="36" hidden="1" customWidth="1"/>
    <col min="34" max="34" width="19.140625" style="36" hidden="1" customWidth="1"/>
    <col min="35" max="35" width="17.85546875" style="36" hidden="1" customWidth="1"/>
    <col min="36" max="36" width="1.5703125" style="64" hidden="1" customWidth="1"/>
    <col min="37" max="37" width="9.5703125" style="36" hidden="1" customWidth="1"/>
    <col min="38" max="38" width="19.140625" style="36" hidden="1" customWidth="1"/>
    <col min="39" max="39" width="17.85546875" style="36" hidden="1" customWidth="1"/>
    <col min="40" max="40" width="1.7109375" style="64" hidden="1" customWidth="1"/>
    <col min="41" max="41" width="9.5703125" style="36" hidden="1" customWidth="1"/>
    <col min="42" max="42" width="19.140625" style="36" hidden="1" customWidth="1"/>
    <col min="43" max="43" width="17.85546875" style="36" hidden="1" customWidth="1"/>
    <col min="44" max="44" width="1.5703125" style="64" hidden="1" customWidth="1"/>
    <col min="45" max="45" width="9.5703125" style="36" hidden="1" customWidth="1"/>
    <col min="46" max="46" width="19.140625" style="36" hidden="1" customWidth="1"/>
    <col min="47" max="47" width="17.85546875" style="36" hidden="1" customWidth="1"/>
    <col min="48" max="48" width="1.5703125" style="64" hidden="1" customWidth="1"/>
    <col min="49" max="49" width="9.5703125" style="36" hidden="1" customWidth="1"/>
    <col min="50" max="50" width="19.140625" style="36" hidden="1" customWidth="1"/>
    <col min="51" max="51" width="17.85546875" style="36" hidden="1" customWidth="1"/>
    <col min="52" max="52" width="1.5703125" style="64" hidden="1" customWidth="1"/>
    <col min="53" max="53" width="9.5703125" style="36" hidden="1" customWidth="1"/>
    <col min="54" max="54" width="19.140625" style="36" hidden="1" customWidth="1"/>
    <col min="55" max="55" width="17.85546875" style="36" hidden="1" customWidth="1"/>
    <col min="56" max="56" width="2" style="64" hidden="1" customWidth="1"/>
    <col min="57" max="57" width="9.5703125" style="36" hidden="1" customWidth="1"/>
    <col min="58" max="58" width="19.140625" style="36" hidden="1" customWidth="1"/>
    <col min="59" max="59" width="17.85546875" style="36" hidden="1" customWidth="1"/>
    <col min="60" max="60" width="1.5703125" style="64" hidden="1" customWidth="1"/>
    <col min="61" max="61" width="9.5703125" style="36" hidden="1" customWidth="1"/>
    <col min="62" max="62" width="19.140625" style="36" hidden="1" customWidth="1"/>
    <col min="63" max="63" width="17.85546875" style="36" hidden="1" customWidth="1"/>
    <col min="64" max="64" width="1.5703125" style="64" hidden="1" customWidth="1"/>
    <col min="65" max="65" width="9.5703125" style="36" hidden="1" customWidth="1"/>
    <col min="66" max="66" width="19.140625" style="36" hidden="1" customWidth="1"/>
    <col min="67" max="67" width="17.85546875" style="36" hidden="1" customWidth="1"/>
    <col min="68" max="68" width="1.7109375" style="64" hidden="1" customWidth="1"/>
    <col min="69" max="69" width="9.5703125" style="36" hidden="1" customWidth="1"/>
    <col min="70" max="70" width="19.140625" style="36" hidden="1" customWidth="1"/>
    <col min="71" max="71" width="17.85546875" style="36" hidden="1" customWidth="1"/>
    <col min="72" max="72" width="1.7109375" style="64" hidden="1" customWidth="1"/>
    <col min="73" max="73" width="9.5703125" style="36" hidden="1" customWidth="1"/>
    <col min="74" max="74" width="19.140625" style="36" hidden="1" customWidth="1"/>
    <col min="75" max="75" width="17.85546875" style="36" hidden="1" customWidth="1"/>
    <col min="76" max="76" width="1.7109375" style="64" hidden="1" customWidth="1"/>
    <col min="77" max="77" width="9.5703125" style="36" hidden="1" customWidth="1"/>
    <col min="78" max="78" width="19.140625" style="36" hidden="1" customWidth="1"/>
    <col min="79" max="79" width="17.85546875" style="36" hidden="1" customWidth="1"/>
    <col min="80" max="80" width="2.140625" style="64" hidden="1" customWidth="1"/>
    <col min="81" max="81" width="9.5703125" style="36" hidden="1" customWidth="1"/>
    <col min="82" max="82" width="19.140625" style="36" hidden="1" customWidth="1"/>
    <col min="83" max="83" width="17.85546875" style="36" hidden="1" customWidth="1"/>
    <col min="84" max="84" width="2" style="64" hidden="1" customWidth="1"/>
    <col min="85" max="85" width="9.5703125" style="36" hidden="1" customWidth="1"/>
    <col min="86" max="86" width="19.140625" style="36" hidden="1" customWidth="1"/>
    <col min="87" max="87" width="17.85546875" style="36" hidden="1" customWidth="1"/>
    <col min="88" max="88" width="1.28515625" style="64" hidden="1" customWidth="1"/>
    <col min="89" max="89" width="9.5703125" style="36" hidden="1" customWidth="1"/>
    <col min="90" max="90" width="19.140625" style="36" hidden="1" customWidth="1"/>
    <col min="91" max="91" width="17.85546875" style="36" hidden="1" customWidth="1"/>
    <col min="92" max="92" width="1.42578125" style="64" hidden="1" customWidth="1"/>
    <col min="93" max="93" width="9.5703125" style="36" hidden="1" customWidth="1"/>
    <col min="94" max="94" width="19.140625" style="36" hidden="1" customWidth="1"/>
    <col min="95" max="95" width="17.85546875" style="36" hidden="1" customWidth="1"/>
    <col min="96" max="96" width="2" style="64" hidden="1" customWidth="1"/>
    <col min="97" max="97" width="9.5703125" style="36" hidden="1" customWidth="1"/>
    <col min="98" max="98" width="19.140625" style="36" hidden="1" customWidth="1"/>
    <col min="99" max="99" width="17.85546875" style="36" hidden="1" customWidth="1"/>
    <col min="100" max="100" width="2" style="64" hidden="1" customWidth="1"/>
    <col min="101" max="101" width="9.5703125" style="36" hidden="1" customWidth="1"/>
    <col min="102" max="102" width="19.140625" style="36" hidden="1" customWidth="1"/>
    <col min="103" max="103" width="17.85546875" style="36" hidden="1" customWidth="1"/>
    <col min="104" max="104" width="2" style="64" hidden="1" customWidth="1"/>
    <col min="105" max="105" width="9.5703125" style="36" hidden="1" customWidth="1"/>
    <col min="106" max="106" width="19.140625" style="36" hidden="1" customWidth="1"/>
    <col min="107" max="107" width="17.85546875" style="36" hidden="1" customWidth="1"/>
    <col min="108" max="108" width="2" style="64" hidden="1" customWidth="1"/>
    <col min="109" max="109" width="9.5703125" style="36" hidden="1" customWidth="1"/>
    <col min="110" max="110" width="19.140625" style="36" hidden="1" customWidth="1"/>
    <col min="111" max="111" width="17.85546875" style="36" hidden="1" customWidth="1"/>
    <col min="112" max="112" width="2" style="64" hidden="1" customWidth="1"/>
    <col min="113" max="113" width="9.5703125" style="36" hidden="1" customWidth="1"/>
    <col min="114" max="114" width="19.140625" style="36" hidden="1" customWidth="1"/>
    <col min="115" max="115" width="17.85546875" style="36" hidden="1" customWidth="1"/>
    <col min="116" max="116" width="2" style="64" hidden="1" customWidth="1"/>
    <col min="117" max="117" width="9.5703125" style="36" hidden="1" customWidth="1"/>
    <col min="118" max="118" width="19.140625" style="36" hidden="1" customWidth="1"/>
    <col min="119" max="119" width="17.85546875" style="36" hidden="1" customWidth="1"/>
    <col min="120" max="120" width="2" style="64" hidden="1" customWidth="1"/>
    <col min="121" max="121" width="9.5703125" style="36" hidden="1" customWidth="1"/>
    <col min="122" max="122" width="19.140625" style="36" hidden="1" customWidth="1"/>
    <col min="123" max="123" width="17.85546875" style="36" hidden="1" customWidth="1"/>
    <col min="124" max="124" width="2" style="64" hidden="1" customWidth="1"/>
    <col min="125" max="125" width="9.5703125" style="36" hidden="1" customWidth="1"/>
    <col min="126" max="126" width="19.140625" style="36" hidden="1" customWidth="1"/>
    <col min="127" max="127" width="17.85546875" style="36" hidden="1" customWidth="1"/>
    <col min="128" max="128" width="2" style="64" hidden="1" customWidth="1"/>
    <col min="129" max="129" width="9.5703125" style="36" hidden="1" customWidth="1"/>
    <col min="130" max="130" width="19.140625" style="36" hidden="1" customWidth="1"/>
    <col min="131" max="131" width="17.85546875" style="36" hidden="1" customWidth="1"/>
    <col min="132" max="132" width="2" style="64" hidden="1" customWidth="1"/>
    <col min="133" max="133" width="9.5703125" style="36" hidden="1" customWidth="1"/>
    <col min="134" max="134" width="19.140625" style="36" hidden="1" customWidth="1"/>
    <col min="135" max="135" width="17.85546875" style="36" hidden="1" customWidth="1"/>
    <col min="136" max="136" width="2" style="64" hidden="1" customWidth="1"/>
    <col min="137" max="137" width="9.5703125" style="36" hidden="1" customWidth="1"/>
    <col min="138" max="138" width="19.140625" style="36" hidden="1" customWidth="1"/>
    <col min="139" max="139" width="17.85546875" style="36" hidden="1" customWidth="1"/>
    <col min="140" max="140" width="2" style="64" hidden="1" customWidth="1"/>
    <col min="141" max="141" width="9.5703125" style="36" hidden="1" customWidth="1"/>
    <col min="142" max="142" width="19.140625" style="36" hidden="1" customWidth="1"/>
    <col min="143" max="143" width="17.85546875" style="36" hidden="1" customWidth="1"/>
    <col min="144" max="144" width="2" style="64" hidden="1" customWidth="1"/>
    <col min="145" max="145" width="9.5703125" style="36" hidden="1" customWidth="1"/>
    <col min="146" max="146" width="19.140625" style="36" hidden="1" customWidth="1"/>
    <col min="147" max="147" width="17.85546875" style="36" hidden="1" customWidth="1"/>
    <col min="148" max="148" width="2" style="64" hidden="1" customWidth="1"/>
    <col min="149" max="149" width="9.5703125" style="36" hidden="1" customWidth="1"/>
    <col min="150" max="150" width="19.140625" style="36" hidden="1" customWidth="1"/>
    <col min="151" max="151" width="17.85546875" style="36" hidden="1" customWidth="1"/>
    <col min="152" max="152" width="2" style="64" hidden="1" customWidth="1"/>
    <col min="153" max="153" width="9.5703125" style="36" hidden="1" customWidth="1"/>
    <col min="154" max="154" width="19.140625" style="36" hidden="1" customWidth="1"/>
    <col min="155" max="155" width="17.85546875" style="36" hidden="1" customWidth="1"/>
    <col min="156" max="156" width="2" style="64" hidden="1" customWidth="1"/>
    <col min="157" max="157" width="9.5703125" style="36" hidden="1" customWidth="1"/>
    <col min="158" max="158" width="19.140625" style="36" hidden="1" customWidth="1"/>
    <col min="159" max="159" width="17.85546875" style="36" hidden="1" customWidth="1"/>
    <col min="160" max="160" width="2" style="64" hidden="1" customWidth="1"/>
    <col min="161" max="161" width="9.5703125" style="36" hidden="1" customWidth="1"/>
    <col min="162" max="162" width="19.140625" style="36" hidden="1" customWidth="1"/>
    <col min="163" max="163" width="17.85546875" style="36" hidden="1" customWidth="1"/>
    <col min="164" max="164" width="1.85546875" style="64" hidden="1" customWidth="1"/>
    <col min="165" max="165" width="9.5703125" style="36" hidden="1" customWidth="1"/>
    <col min="166" max="166" width="19.140625" style="36" hidden="1" customWidth="1"/>
    <col min="167" max="167" width="17.85546875" style="36" hidden="1" customWidth="1"/>
    <col min="168" max="168" width="1.85546875" style="64" hidden="1" customWidth="1"/>
    <col min="169" max="169" width="9.5703125" style="36" hidden="1" customWidth="1"/>
    <col min="170" max="170" width="19.140625" style="36" hidden="1" customWidth="1"/>
    <col min="171" max="171" width="17.85546875" style="36" hidden="1" customWidth="1"/>
    <col min="172" max="172" width="1.85546875" style="64" hidden="1" customWidth="1"/>
    <col min="173" max="173" width="9.5703125" style="36" hidden="1" customWidth="1"/>
    <col min="174" max="174" width="19.140625" style="36" hidden="1" customWidth="1"/>
    <col min="175" max="175" width="17.85546875" style="36" hidden="1" customWidth="1"/>
    <col min="176" max="176" width="1.85546875" style="64" hidden="1" customWidth="1"/>
    <col min="177" max="177" width="9.5703125" style="36" hidden="1" customWidth="1"/>
    <col min="178" max="178" width="19.140625" style="36" hidden="1" customWidth="1"/>
    <col min="179" max="179" width="17.85546875" style="36" hidden="1" customWidth="1"/>
    <col min="180" max="180" width="1.85546875" style="64" hidden="1" customWidth="1"/>
    <col min="181" max="181" width="9.5703125" style="36" hidden="1" customWidth="1"/>
    <col min="182" max="182" width="19.140625" style="36" hidden="1" customWidth="1"/>
    <col min="183" max="183" width="17.85546875" style="36" hidden="1" customWidth="1"/>
    <col min="184" max="184" width="1.85546875" style="64" hidden="1" customWidth="1"/>
    <col min="185" max="185" width="9.5703125" style="36" hidden="1" customWidth="1"/>
    <col min="186" max="186" width="19.140625" style="36" hidden="1" customWidth="1"/>
    <col min="187" max="187" width="17.85546875" style="36" hidden="1" customWidth="1"/>
    <col min="188" max="188" width="1.85546875" style="64" hidden="1" customWidth="1"/>
    <col min="189" max="189" width="9.5703125" style="36" hidden="1" customWidth="1"/>
    <col min="190" max="190" width="19.140625" style="36" hidden="1" customWidth="1"/>
    <col min="191" max="191" width="17.85546875" style="36" hidden="1" customWidth="1"/>
    <col min="192" max="192" width="1.85546875" style="64" hidden="1" customWidth="1"/>
    <col min="193" max="193" width="9.5703125" style="36" hidden="1" customWidth="1"/>
    <col min="194" max="194" width="19.140625" style="36" hidden="1" customWidth="1"/>
    <col min="195" max="195" width="17.85546875" style="36" hidden="1" customWidth="1"/>
    <col min="196" max="196" width="1.85546875" style="64" hidden="1" customWidth="1"/>
    <col min="197" max="197" width="9.5703125" style="36" hidden="1" customWidth="1"/>
    <col min="198" max="198" width="19.140625" style="36" hidden="1" customWidth="1"/>
    <col min="199" max="199" width="17.85546875" style="36" hidden="1" customWidth="1"/>
    <col min="200" max="200" width="1.85546875" style="64" hidden="1" customWidth="1"/>
    <col min="201" max="201" width="9.5703125" style="36" hidden="1" customWidth="1"/>
    <col min="202" max="202" width="19.140625" style="36" hidden="1" customWidth="1"/>
    <col min="203" max="203" width="17.85546875" style="36" hidden="1" customWidth="1"/>
    <col min="204" max="204" width="1.85546875" style="64" hidden="1" customWidth="1"/>
    <col min="205" max="205" width="9.5703125" style="36" hidden="1" customWidth="1"/>
    <col min="206" max="206" width="19.140625" style="36" hidden="1" customWidth="1"/>
    <col min="207" max="207" width="17.85546875" style="36" hidden="1" customWidth="1"/>
    <col min="208" max="208" width="1.85546875" style="64" hidden="1" customWidth="1"/>
    <col min="209" max="209" width="9.5703125" style="36" hidden="1" customWidth="1"/>
    <col min="210" max="210" width="19.140625" style="36" hidden="1" customWidth="1"/>
    <col min="211" max="211" width="17.85546875" style="36" hidden="1" customWidth="1"/>
    <col min="212" max="212" width="1.85546875" style="64" hidden="1" customWidth="1"/>
    <col min="213" max="213" width="9.5703125" style="36" hidden="1" customWidth="1"/>
    <col min="214" max="214" width="19.140625" style="36" hidden="1" customWidth="1"/>
    <col min="215" max="215" width="17.85546875" style="36" hidden="1" customWidth="1"/>
    <col min="216" max="216" width="1.85546875" style="64" hidden="1" customWidth="1"/>
    <col min="217" max="217" width="9.5703125" style="36" hidden="1" customWidth="1"/>
    <col min="218" max="218" width="19.140625" style="36" hidden="1" customWidth="1"/>
    <col min="219" max="219" width="17.85546875" style="36" hidden="1" customWidth="1"/>
    <col min="220" max="220" width="1.85546875" style="64" hidden="1" customWidth="1"/>
    <col min="221" max="221" width="9.5703125" style="36" hidden="1" customWidth="1"/>
    <col min="222" max="222" width="19.140625" style="36" hidden="1" customWidth="1"/>
    <col min="223" max="223" width="17.85546875" style="36" hidden="1" customWidth="1"/>
    <col min="224" max="224" width="1.85546875" style="64" hidden="1" customWidth="1"/>
    <col min="225" max="225" width="9.5703125" style="36" hidden="1" customWidth="1"/>
    <col min="226" max="226" width="19.140625" style="36" hidden="1" customWidth="1"/>
    <col min="227" max="227" width="17.85546875" style="36" hidden="1" customWidth="1"/>
    <col min="228" max="228" width="1.85546875" style="64" hidden="1" customWidth="1"/>
    <col min="229" max="229" width="9.5703125" style="36" hidden="1" customWidth="1"/>
    <col min="230" max="230" width="19.140625" style="36" hidden="1" customWidth="1"/>
    <col min="231" max="231" width="17.85546875" style="36" hidden="1" customWidth="1"/>
    <col min="232" max="232" width="1.85546875" style="64" hidden="1" customWidth="1"/>
    <col min="233" max="233" width="9.5703125" style="36" hidden="1" customWidth="1"/>
    <col min="234" max="234" width="19.140625" style="36" hidden="1" customWidth="1"/>
    <col min="235" max="235" width="17.85546875" style="36" hidden="1" customWidth="1"/>
    <col min="236" max="236" width="1.85546875" style="64" hidden="1" customWidth="1"/>
    <col min="237" max="237" width="9.5703125" style="36" hidden="1" customWidth="1"/>
    <col min="238" max="238" width="19.140625" style="36" hidden="1" customWidth="1"/>
    <col min="239" max="239" width="17.85546875" style="36" hidden="1" customWidth="1"/>
    <col min="240" max="240" width="1.85546875" style="64" hidden="1" customWidth="1"/>
    <col min="241" max="241" width="9.5703125" style="36" hidden="1" customWidth="1"/>
    <col min="242" max="242" width="19.140625" style="36" hidden="1" customWidth="1"/>
    <col min="243" max="243" width="17.85546875" style="36" hidden="1" customWidth="1"/>
    <col min="244" max="244" width="1.85546875" style="64" hidden="1" customWidth="1"/>
    <col min="245" max="245" width="9.5703125" style="36" hidden="1" customWidth="1"/>
    <col min="246" max="246" width="19.140625" style="36" hidden="1" customWidth="1"/>
    <col min="247" max="247" width="17.85546875" style="36" hidden="1" customWidth="1"/>
    <col min="248" max="248" width="1.85546875" style="64" hidden="1" customWidth="1"/>
    <col min="249" max="249" width="9.5703125" style="36" hidden="1" customWidth="1"/>
    <col min="250" max="250" width="19.140625" style="36" hidden="1" customWidth="1"/>
    <col min="251" max="251" width="17.85546875" style="36" hidden="1" customWidth="1"/>
    <col min="252" max="252" width="1.85546875" style="64" hidden="1" customWidth="1"/>
    <col min="253" max="253" width="9.5703125" style="36" hidden="1" customWidth="1"/>
    <col min="254" max="254" width="19.140625" style="36" hidden="1" customWidth="1"/>
    <col min="255" max="255" width="17.85546875" style="36" hidden="1" customWidth="1"/>
    <col min="256" max="256" width="1.85546875" style="64" hidden="1" customWidth="1"/>
    <col min="257" max="257" width="9.5703125" style="36" hidden="1" customWidth="1"/>
    <col min="258" max="258" width="19.140625" style="36" hidden="1" customWidth="1"/>
    <col min="259" max="259" width="17.85546875" style="36" hidden="1" customWidth="1"/>
    <col min="260" max="260" width="2.28515625" style="64" hidden="1" customWidth="1"/>
    <col min="261" max="261" width="9.5703125" style="36" hidden="1" customWidth="1"/>
    <col min="262" max="262" width="19.140625" style="36" hidden="1" customWidth="1"/>
    <col min="263" max="263" width="18.28515625" style="36" hidden="1" customWidth="1"/>
    <col min="264" max="264" width="1.5703125" style="64" hidden="1" customWidth="1"/>
    <col min="265" max="265" width="9.5703125" style="36" hidden="1" customWidth="1"/>
    <col min="266" max="266" width="19.140625" style="36" hidden="1" customWidth="1"/>
    <col min="267" max="267" width="17.85546875" style="36" hidden="1" customWidth="1"/>
    <col min="268" max="268" width="2.28515625" style="64" hidden="1" customWidth="1"/>
    <col min="269" max="269" width="9.5703125" style="36" hidden="1" customWidth="1"/>
    <col min="270" max="270" width="19.140625" style="36" hidden="1" customWidth="1"/>
    <col min="271" max="271" width="18.28515625" style="36" hidden="1" customWidth="1"/>
    <col min="272" max="272" width="1.5703125" style="64" hidden="1" customWidth="1"/>
    <col min="273" max="273" width="9.5703125" style="36" hidden="1" customWidth="1"/>
    <col min="274" max="274" width="19.140625" style="36" hidden="1" customWidth="1"/>
    <col min="275" max="275" width="17.85546875" style="36" hidden="1" customWidth="1"/>
    <col min="276" max="276" width="1.5703125" style="64" hidden="1" customWidth="1"/>
    <col min="277" max="277" width="9.5703125" style="36" hidden="1" customWidth="1"/>
    <col min="278" max="278" width="19.140625" style="36" hidden="1" customWidth="1"/>
    <col min="279" max="279" width="17.85546875" style="36" hidden="1" customWidth="1"/>
    <col min="280" max="280" width="1.5703125" style="64" hidden="1" customWidth="1"/>
    <col min="281" max="281" width="9.5703125" style="36" hidden="1" customWidth="1"/>
    <col min="282" max="282" width="19.140625" style="36" hidden="1" customWidth="1"/>
    <col min="283" max="283" width="17.85546875" style="36" hidden="1" customWidth="1"/>
    <col min="284" max="284" width="1.5703125" style="64" hidden="1" customWidth="1"/>
    <col min="285" max="285" width="9.5703125" style="36" hidden="1" customWidth="1"/>
    <col min="286" max="286" width="19.140625" style="36" hidden="1" customWidth="1"/>
    <col min="287" max="287" width="17.85546875" style="36" hidden="1" customWidth="1"/>
    <col min="288" max="288" width="2.28515625" style="64" hidden="1" customWidth="1"/>
    <col min="289" max="289" width="9.5703125" style="36" hidden="1" customWidth="1"/>
    <col min="290" max="290" width="19.140625" style="36" hidden="1" customWidth="1"/>
    <col min="291" max="291" width="18.28515625" style="36" hidden="1" customWidth="1"/>
    <col min="292" max="292" width="1.5703125" style="64" hidden="1" customWidth="1"/>
    <col min="293" max="293" width="9.5703125" style="36" hidden="1" customWidth="1"/>
    <col min="294" max="294" width="19.140625" style="36" hidden="1" customWidth="1"/>
    <col min="295" max="295" width="17.85546875" style="36" hidden="1" customWidth="1"/>
    <col min="296" max="296" width="1.5703125" style="64" hidden="1" customWidth="1"/>
    <col min="297" max="297" width="9.5703125" style="36" hidden="1" customWidth="1"/>
    <col min="298" max="298" width="19.140625" style="36" hidden="1" customWidth="1"/>
    <col min="299" max="299" width="17.85546875" style="36" hidden="1" customWidth="1"/>
    <col min="300" max="300" width="1.5703125" style="64" hidden="1" customWidth="1"/>
    <col min="301" max="301" width="9.5703125" style="36" hidden="1" customWidth="1"/>
    <col min="302" max="302" width="19.140625" style="36" hidden="1" customWidth="1"/>
    <col min="303" max="303" width="17.85546875" style="36" hidden="1" customWidth="1"/>
    <col min="304" max="304" width="2" style="64" hidden="1" customWidth="1"/>
    <col min="305" max="305" width="9.5703125" style="36" hidden="1" customWidth="1"/>
    <col min="306" max="306" width="19.140625" style="36" hidden="1" customWidth="1"/>
    <col min="307" max="307" width="17.85546875" style="36" hidden="1" customWidth="1"/>
    <col min="308" max="308" width="2" style="64" hidden="1" customWidth="1"/>
    <col min="309" max="309" width="9.5703125" style="36" hidden="1" customWidth="1"/>
    <col min="310" max="310" width="19.140625" style="36" hidden="1" customWidth="1"/>
    <col min="311" max="311" width="17.85546875" style="36" hidden="1" customWidth="1"/>
    <col min="312" max="312" width="2" style="64" customWidth="1"/>
    <col min="313" max="313" width="9.5703125" style="36" customWidth="1"/>
    <col min="314" max="314" width="19.140625" style="36" customWidth="1"/>
    <col min="315" max="315" width="17.85546875" style="36" customWidth="1"/>
    <col min="316" max="316" width="2" style="64" hidden="1" customWidth="1"/>
    <col min="317" max="317" width="9.5703125" style="36" hidden="1" customWidth="1"/>
    <col min="318" max="318" width="19.140625" style="36" hidden="1" customWidth="1"/>
    <col min="319" max="319" width="17.85546875" style="36" hidden="1" customWidth="1"/>
    <col min="320" max="320" width="2" style="64" customWidth="1"/>
    <col min="321" max="321" width="9.5703125" style="36" customWidth="1"/>
    <col min="322" max="322" width="19.140625" style="36" customWidth="1"/>
    <col min="323" max="323" width="17.85546875" style="36" customWidth="1"/>
    <col min="324" max="324" width="2" style="64" customWidth="1"/>
    <col min="325" max="325" width="9.5703125" style="36" customWidth="1"/>
    <col min="326" max="326" width="19.140625" style="36" customWidth="1"/>
    <col min="327" max="327" width="17.85546875" style="36" customWidth="1"/>
    <col min="328" max="328" width="2" style="64" customWidth="1"/>
    <col min="329" max="329" width="9.5703125" style="36" customWidth="1"/>
    <col min="330" max="330" width="19.140625" style="36" customWidth="1"/>
    <col min="331" max="331" width="17.85546875" style="36" customWidth="1"/>
    <col min="332" max="332" width="1.5703125" style="64" hidden="1" customWidth="1"/>
    <col min="333" max="333" width="9.5703125" style="36" hidden="1" customWidth="1"/>
    <col min="334" max="334" width="19.140625" style="36" hidden="1" customWidth="1"/>
    <col min="335" max="335" width="17.85546875" style="36" hidden="1" customWidth="1"/>
    <col min="336" max="336" width="1.5703125" style="64" customWidth="1"/>
    <col min="337" max="337" width="9.5703125" style="36" customWidth="1"/>
    <col min="338" max="338" width="19.140625" style="36" customWidth="1"/>
    <col min="339" max="339" width="17.85546875" style="36" customWidth="1"/>
    <col min="340" max="340" width="1.5703125" style="64" customWidth="1"/>
    <col min="341" max="341" width="9.5703125" style="36" customWidth="1"/>
    <col min="342" max="342" width="19.140625" style="36" customWidth="1"/>
    <col min="343" max="343" width="17.85546875" style="36" customWidth="1"/>
    <col min="344" max="344" width="1.5703125" style="64" customWidth="1"/>
    <col min="345" max="345" width="9.5703125" style="36" customWidth="1"/>
    <col min="346" max="346" width="19.140625" style="36" customWidth="1"/>
    <col min="347" max="347" width="17.85546875" style="36" customWidth="1"/>
    <col min="348" max="348" width="1.5703125" style="64" customWidth="1"/>
    <col min="349" max="349" width="9.5703125" style="36" customWidth="1"/>
    <col min="350" max="350" width="19.140625" style="36" customWidth="1"/>
    <col min="351" max="351" width="17.85546875" style="36" customWidth="1"/>
    <col min="352" max="352" width="1.5703125" style="64" customWidth="1"/>
    <col min="353" max="353" width="9.5703125" style="36" customWidth="1"/>
    <col min="354" max="354" width="19.140625" style="36" customWidth="1"/>
    <col min="355" max="355" width="17.85546875" style="36" customWidth="1"/>
    <col min="356" max="356" width="1.5703125" style="64" customWidth="1"/>
    <col min="357" max="357" width="9.5703125" style="36" customWidth="1"/>
    <col min="358" max="358" width="19.140625" style="36" customWidth="1"/>
    <col min="359" max="359" width="17.85546875" style="36" customWidth="1"/>
    <col min="360" max="360" width="1.5703125" style="64" customWidth="1"/>
  </cols>
  <sheetData>
    <row r="1" spans="1:359" ht="15.75" thickBot="1" x14ac:dyDescent="0.3"/>
    <row r="2" spans="1:359" ht="15.75" thickBot="1" x14ac:dyDescent="0.3">
      <c r="F2" s="7"/>
      <c r="G2" s="8"/>
      <c r="K2" s="7"/>
      <c r="L2" s="8"/>
      <c r="P2" s="7" t="s">
        <v>38</v>
      </c>
      <c r="Q2" s="8">
        <f>(Q3*(1+Q4*Q5/360))</f>
        <v>734160.49032314238</v>
      </c>
      <c r="Y2" s="7"/>
      <c r="Z2" s="8"/>
      <c r="AD2" s="7"/>
      <c r="AE2" s="8"/>
      <c r="AH2" s="7" t="s">
        <v>38</v>
      </c>
      <c r="AI2" s="8">
        <f>(AI3*(1+AI4*AI5/360))</f>
        <v>1536287.007463834</v>
      </c>
      <c r="AL2" s="7" t="s">
        <v>38</v>
      </c>
      <c r="AM2" s="8">
        <f>(AM3*(1+AM4*AM5/360))</f>
        <v>1388760.3053526622</v>
      </c>
      <c r="AP2" s="7" t="s">
        <v>38</v>
      </c>
      <c r="AQ2" s="8">
        <f>(AQ3*(1+AQ4*AQ5/360))</f>
        <v>3656697.9512034119</v>
      </c>
      <c r="AT2" s="7" t="s">
        <v>38</v>
      </c>
      <c r="AU2" s="8">
        <f>(AU3*(1+AU4*AU5/360))</f>
        <v>1234872.8046917943</v>
      </c>
      <c r="AX2" s="7" t="s">
        <v>38</v>
      </c>
      <c r="AY2" s="8">
        <f>(AY3*(1+AY4*AY5/360))</f>
        <v>697706.86843553209</v>
      </c>
      <c r="BB2" s="7" t="s">
        <v>38</v>
      </c>
      <c r="BC2" s="8">
        <f>(BC3*(1+BC4*BC5/360))</f>
        <v>618352.70841433643</v>
      </c>
      <c r="BF2" s="7" t="s">
        <v>38</v>
      </c>
      <c r="BG2" s="8">
        <f>(BG3*(1+BG4*BG5/360))</f>
        <v>1394592.0814406706</v>
      </c>
      <c r="BJ2" s="7" t="s">
        <v>38</v>
      </c>
      <c r="BK2" s="8">
        <f>(BK3*(1+BK4*BK5/360))</f>
        <v>2491241.7316797473</v>
      </c>
      <c r="BN2" s="7" t="s">
        <v>38</v>
      </c>
      <c r="BO2" s="8">
        <f>(BO3*(1+BO4*BO5/360))</f>
        <v>1867210.23262766</v>
      </c>
      <c r="BR2" s="7" t="s">
        <v>38</v>
      </c>
      <c r="BS2" s="8">
        <f>(BS3*(1+BS4*BS5/360))</f>
        <v>4302808.9930885239</v>
      </c>
      <c r="BV2" s="7" t="s">
        <v>38</v>
      </c>
      <c r="BW2" s="8">
        <f>(BW3*(1+BW4*BW5/360))</f>
        <v>1611759.4</v>
      </c>
      <c r="BZ2" s="7" t="s">
        <v>38</v>
      </c>
      <c r="CA2" s="8">
        <f>(CA3*(1+CA4*CA5/360))</f>
        <v>1611759.4</v>
      </c>
      <c r="CD2" s="7" t="s">
        <v>38</v>
      </c>
      <c r="CE2" s="8">
        <f>(CE3*(1+CE4*CE5/360))</f>
        <v>1624378.671598142</v>
      </c>
      <c r="CH2" s="7" t="s">
        <v>38</v>
      </c>
      <c r="CI2" s="8">
        <f>(CI3*(1+CI4*CI5/360))</f>
        <v>974421.432561505</v>
      </c>
      <c r="CL2" s="7" t="s">
        <v>38</v>
      </c>
      <c r="CM2" s="8">
        <f>(CM3*(1+CM4*CM5/360))</f>
        <v>802478.0564494268</v>
      </c>
      <c r="CP2" s="7" t="s">
        <v>38</v>
      </c>
      <c r="CQ2" s="8">
        <f>(CQ3*(1+CQ4*CQ5/360))</f>
        <v>1835623.8714538307</v>
      </c>
      <c r="CT2" s="7" t="s">
        <v>38</v>
      </c>
      <c r="CU2" s="8">
        <f>(CU3*(1+CU4*CU5/360))</f>
        <v>1596373.0360954255</v>
      </c>
      <c r="CX2" s="7" t="s">
        <v>38</v>
      </c>
      <c r="CY2" s="8">
        <f>(CY3*(1+CY4*CY5/360))</f>
        <v>2550573.0817659465</v>
      </c>
      <c r="DB2" s="7" t="s">
        <v>38</v>
      </c>
      <c r="DC2" s="8">
        <f>(DC3*(1+DC4*DC5/360))</f>
        <v>2813550.0580365038</v>
      </c>
      <c r="DF2" s="7" t="s">
        <v>38</v>
      </c>
      <c r="DG2" s="8">
        <f>(DG3*(1+DG4*DG5/360))</f>
        <v>3203588.0198303433</v>
      </c>
      <c r="DJ2" s="7" t="s">
        <v>38</v>
      </c>
      <c r="DK2" s="8">
        <f>(DK3*(1+DK4*DK5/360))</f>
        <v>640871.58305941289</v>
      </c>
      <c r="DN2" s="7" t="s">
        <v>38</v>
      </c>
      <c r="DO2" s="8">
        <f>(DO3*(1+DO4*DO5/360))</f>
        <v>785286.86248702521</v>
      </c>
      <c r="DR2" s="7" t="s">
        <v>38</v>
      </c>
      <c r="DS2" s="8">
        <f>(DS3*(1+DS4*DS5/360))</f>
        <v>640871.58305941289</v>
      </c>
      <c r="DV2" s="7" t="s">
        <v>38</v>
      </c>
      <c r="DW2" s="8">
        <f>(DW3*(1+DW4*DW5/360))</f>
        <v>2338634.2408175864</v>
      </c>
      <c r="DZ2" s="7" t="s">
        <v>38</v>
      </c>
      <c r="EA2" s="8">
        <f>(EA3*(1+EA4*EA5/360))</f>
        <v>795481.66338916402</v>
      </c>
      <c r="ED2" s="7" t="s">
        <v>38</v>
      </c>
      <c r="EE2" s="8">
        <f>(EE3*(1+EE4*EE5/360))</f>
        <v>1262068.5344467892</v>
      </c>
      <c r="EH2" s="7" t="s">
        <v>38</v>
      </c>
      <c r="EI2" s="8">
        <f>(EI3*(1+EI4*EI5/360))</f>
        <v>1593777.8891727631</v>
      </c>
      <c r="EL2" s="7" t="s">
        <v>38</v>
      </c>
      <c r="EM2" s="8">
        <f>(EM3*(1+EM4*EM5/360))</f>
        <v>969023.54850657703</v>
      </c>
      <c r="EP2" s="7" t="s">
        <v>38</v>
      </c>
      <c r="EQ2" s="8">
        <f>(EQ3*(1+EQ4*EQ5/360))</f>
        <v>1283697.0492112632</v>
      </c>
      <c r="ET2" s="7" t="s">
        <v>38</v>
      </c>
      <c r="EU2" s="8">
        <f>(EU3*(1+EU4*EU5/360))</f>
        <v>1604492.5767984926</v>
      </c>
      <c r="EX2" s="7" t="s">
        <v>38</v>
      </c>
      <c r="EY2" s="8">
        <f>(EY3*(1+EY4*EY5/360))</f>
        <v>2391619.7633456108</v>
      </c>
      <c r="FB2" s="7" t="s">
        <v>38</v>
      </c>
      <c r="FC2" s="8">
        <f>(FC3*(1+FC4*FC5/360))</f>
        <v>1263204.4344692677</v>
      </c>
      <c r="FF2" s="7" t="s">
        <v>38</v>
      </c>
      <c r="FG2" s="8">
        <f>(FG3*(1+FG4*FG5/360))</f>
        <v>3160706.0980594009</v>
      </c>
      <c r="FJ2" s="7" t="s">
        <v>38</v>
      </c>
      <c r="FK2" s="8">
        <f>(FK3*(1+FK4*FK5/360))</f>
        <v>1745588.4249511648</v>
      </c>
      <c r="FN2" s="7" t="s">
        <v>38</v>
      </c>
      <c r="FO2" s="8">
        <f>(FO3*(1+FO4*FO5/360))</f>
        <v>1141850.0579428442</v>
      </c>
      <c r="FR2" s="7" t="s">
        <v>38</v>
      </c>
      <c r="FS2" s="8">
        <f>(FS3*(1+FS4*FS5/360))</f>
        <v>1411144.9073738884</v>
      </c>
      <c r="FV2" s="7" t="s">
        <v>38</v>
      </c>
      <c r="FW2" s="8">
        <f>(FW3*(1+FW4*FW5/360))</f>
        <v>1907081.1808947939</v>
      </c>
      <c r="FZ2" s="7" t="s">
        <v>38</v>
      </c>
      <c r="GA2" s="8">
        <f>(GA3*(1+GA4*GA5/360))</f>
        <v>3947887.8778376612</v>
      </c>
      <c r="GD2" s="7" t="s">
        <v>38</v>
      </c>
      <c r="GE2" s="8">
        <f>(GE3*(1+GE4*GE5/360))</f>
        <v>868480.47119929548</v>
      </c>
      <c r="GH2" s="7" t="s">
        <v>38</v>
      </c>
      <c r="GI2" s="8">
        <f>(GI3*(1+GI4*GI5/360))</f>
        <v>2842344.6202566684</v>
      </c>
      <c r="GL2" s="7" t="s">
        <v>38</v>
      </c>
      <c r="GM2" s="8">
        <f>(GM3*(1+GM4*GM5/360))</f>
        <v>947119.18376133335</v>
      </c>
      <c r="GP2" s="7" t="s">
        <v>38</v>
      </c>
      <c r="GQ2" s="8">
        <f>(GQ3*(1+GQ4*GQ5/360))</f>
        <v>1259049.4134276514</v>
      </c>
      <c r="GT2" s="7" t="s">
        <v>38</v>
      </c>
      <c r="GU2" s="8">
        <f>(GU3*(1+GU4*GU5/360))</f>
        <v>1550603.9567141586</v>
      </c>
      <c r="GX2" s="7" t="s">
        <v>38</v>
      </c>
      <c r="GY2" s="8">
        <f>(GY3*(1+GY4*GY5/360))</f>
        <v>923702.20235821931</v>
      </c>
      <c r="HB2" s="7" t="s">
        <v>38</v>
      </c>
      <c r="HC2" s="8">
        <f>(HC3*(1+HC4*HC5/360))</f>
        <v>1539503.6594804765</v>
      </c>
      <c r="HF2" s="7" t="s">
        <v>38</v>
      </c>
      <c r="HG2" s="8">
        <f>(HG3*(1+HG4*HG5/360))</f>
        <v>1102822.9248412552</v>
      </c>
      <c r="HJ2" s="7" t="s">
        <v>38</v>
      </c>
      <c r="HK2" s="8">
        <f>(HK3*(1+HK4*HK5/360))</f>
        <v>763591.9382780001</v>
      </c>
      <c r="HN2" s="7" t="s">
        <v>38</v>
      </c>
      <c r="HO2" s="8">
        <f>(HO3*(1+HO4*HO5/360))</f>
        <v>1374465.4898831998</v>
      </c>
      <c r="HR2" s="7" t="s">
        <v>38</v>
      </c>
      <c r="HS2" s="8">
        <f>(HS3*(1+HS4*HS5/360))</f>
        <v>3049105.851855542</v>
      </c>
      <c r="HV2" s="7" t="s">
        <v>38</v>
      </c>
      <c r="HW2" s="8">
        <f>(HW3*(1+HW4*HW5/360))</f>
        <v>1524459.9609155296</v>
      </c>
      <c r="HZ2" s="7" t="s">
        <v>38</v>
      </c>
      <c r="IA2" s="8">
        <f>(IA3*(1+IA4*IA5/360))</f>
        <v>1524506.442822373</v>
      </c>
      <c r="ID2" s="7" t="s">
        <v>38</v>
      </c>
      <c r="IE2" s="8">
        <f>(IE3*(1+IE4*IE5/360))</f>
        <v>1220125.9742749773</v>
      </c>
      <c r="IH2" s="7" t="s">
        <v>38</v>
      </c>
      <c r="II2" s="8">
        <f>(II3*(1+II4*II5/360))</f>
        <v>1286173.6374900001</v>
      </c>
      <c r="IL2" s="7" t="s">
        <v>38</v>
      </c>
      <c r="IM2" s="8">
        <f>(IM3*(1+IM4*IM5/360))</f>
        <v>2587029.2848608224</v>
      </c>
      <c r="IP2" s="7" t="s">
        <v>38</v>
      </c>
      <c r="IQ2" s="8">
        <f>(IQ3*(1+IQ4*IQ5/360))</f>
        <v>1136363.6398275001</v>
      </c>
      <c r="IT2" s="7" t="s">
        <v>38</v>
      </c>
      <c r="IU2" s="8">
        <f>(IU3*(1+IU4*IU5/360))</f>
        <v>1490521.1335831257</v>
      </c>
      <c r="IX2" s="7" t="s">
        <v>38</v>
      </c>
      <c r="IY2" s="8">
        <f>(IY3*(1+IY4*IY5/360))</f>
        <v>1646632.6372114443</v>
      </c>
      <c r="JB2" s="7" t="s">
        <v>38</v>
      </c>
      <c r="JC2" s="8">
        <f>(JC3*(1+JC4*JC5/360))</f>
        <v>988761.08226685447</v>
      </c>
      <c r="JF2" s="7" t="s">
        <v>38</v>
      </c>
      <c r="JG2" s="8">
        <f>(JG3*(1+JG4*JG5/360))</f>
        <v>1483606.1559099681</v>
      </c>
      <c r="JJ2" s="7" t="s">
        <v>38</v>
      </c>
      <c r="JK2" s="8">
        <f>(JK3*(1+JK4*JK5/360))</f>
        <v>993772.35801030521</v>
      </c>
      <c r="JN2" s="7" t="s">
        <v>38</v>
      </c>
      <c r="JO2" s="8">
        <f>(JO3*(1+JO4*JO5/360))</f>
        <v>993624.24344429618</v>
      </c>
      <c r="JR2" s="7" t="s">
        <v>38</v>
      </c>
      <c r="JS2" s="8">
        <f>(JS3*(1+JS4*JS5/360))</f>
        <v>1501526.5483437453</v>
      </c>
      <c r="JV2" s="7" t="s">
        <v>38</v>
      </c>
      <c r="JW2" s="8">
        <f>(JW3*(1+JW4*JW5/360))</f>
        <v>1655492.0901756806</v>
      </c>
      <c r="JZ2" s="7" t="s">
        <v>38</v>
      </c>
      <c r="KA2" s="8">
        <f>(KA3*(1+KA4*KA5/360))</f>
        <v>1483606.1559099681</v>
      </c>
      <c r="KD2" s="7" t="s">
        <v>38</v>
      </c>
      <c r="KE2" s="8">
        <f>(KE3*(1+KE4*KE5/360))</f>
        <v>993772.35801030521</v>
      </c>
      <c r="KH2" s="7" t="s">
        <v>38</v>
      </c>
      <c r="KI2" s="8">
        <f>(KI3*(1+KI4*KI5/360))</f>
        <v>993624.24344429618</v>
      </c>
      <c r="KL2" s="7" t="s">
        <v>38</v>
      </c>
      <c r="KM2" s="8">
        <f>(KM3*(1+KM4*KM5/360))</f>
        <v>1501526.5483437453</v>
      </c>
      <c r="KP2" s="7" t="s">
        <v>38</v>
      </c>
      <c r="KQ2" s="8">
        <f>(KQ3*(1+KQ4*KQ5/360))</f>
        <v>3316804.5888668876</v>
      </c>
      <c r="KT2" s="7" t="s">
        <v>38</v>
      </c>
      <c r="KU2" s="8">
        <f>(KU3*(1+KU4*KU5/360))</f>
        <v>3312464.8020401956</v>
      </c>
      <c r="KX2" s="7" t="s">
        <v>38</v>
      </c>
      <c r="KY2" s="8">
        <f>(KY3*(1+KY4*KY5/360))</f>
        <v>2991524.016713616</v>
      </c>
      <c r="LB2" s="7" t="s">
        <v>38</v>
      </c>
      <c r="LC2" s="8">
        <f>(LC3*(1+LC4*LC5/360))</f>
        <v>2642444.2643118999</v>
      </c>
      <c r="LF2" s="7" t="s">
        <v>38</v>
      </c>
      <c r="LG2" s="8">
        <f>(LG3*(1+LG4*LG5/360))</f>
        <v>995355.00685915747</v>
      </c>
      <c r="LJ2" s="7" t="s">
        <v>38</v>
      </c>
      <c r="LK2" s="8">
        <f>(LK3*(1+LK4*LK5/360))</f>
        <v>2487149.7259983504</v>
      </c>
      <c r="LN2" s="7" t="s">
        <v>38</v>
      </c>
      <c r="LO2" s="8">
        <f>(LO3*(1+LO4*LO5/360))</f>
        <v>746182.03772353136</v>
      </c>
      <c r="LR2" s="7" t="s">
        <v>38</v>
      </c>
      <c r="LS2" s="8">
        <f>(LS3*(1+LS4*LS5/360))</f>
        <v>2778479.4175670054</v>
      </c>
      <c r="LV2" s="7" t="s">
        <v>38</v>
      </c>
      <c r="LW2" s="8">
        <f>(LW3*(1+LW4*LW5/360))</f>
        <v>832764.27342149394</v>
      </c>
      <c r="LZ2" s="7" t="s">
        <v>38</v>
      </c>
      <c r="MA2" s="8">
        <f>(MA3*(1+MA4*MA5/360))</f>
        <v>976991.84302395466</v>
      </c>
      <c r="MD2" s="7" t="s">
        <v>38</v>
      </c>
      <c r="ME2" s="8">
        <f>(ME3*(1+ME4*ME5/360))</f>
        <v>2867459.7473299718</v>
      </c>
      <c r="MH2" s="7" t="s">
        <v>38</v>
      </c>
      <c r="MI2" s="8">
        <f>(MI3*(1+MI4*MI5/360))</f>
        <v>1774079.089708915</v>
      </c>
      <c r="ML2" s="7" t="s">
        <v>38</v>
      </c>
      <c r="MM2" s="8">
        <f>(MM3*(1+MM4*MM5/360))</f>
        <v>1583456.0503606272</v>
      </c>
      <c r="MP2" s="7" t="s">
        <v>38</v>
      </c>
      <c r="MQ2" s="8">
        <f>(MQ3*(1+MQ4*MQ5/360))</f>
        <v>1456546.3716981276</v>
      </c>
      <c r="MT2" s="7" t="s">
        <v>38</v>
      </c>
      <c r="MU2" s="8">
        <f>(MU3*(1+MU4*MU5/360))</f>
        <v>1442307.6901967002</v>
      </c>
    </row>
    <row r="3" spans="1:359" ht="15.75" thickBot="1" x14ac:dyDescent="0.3">
      <c r="F3" s="7"/>
      <c r="G3" s="9"/>
      <c r="K3" s="7"/>
      <c r="L3" s="9"/>
      <c r="P3" s="7" t="s">
        <v>39</v>
      </c>
      <c r="Q3" s="9">
        <v>731283.96</v>
      </c>
      <c r="Y3" s="7"/>
      <c r="Z3" s="9"/>
      <c r="AD3" s="7"/>
      <c r="AE3" s="9"/>
      <c r="AH3" s="7" t="s">
        <v>39</v>
      </c>
      <c r="AI3" s="9">
        <v>1533685.57</v>
      </c>
      <c r="AL3" s="7" t="s">
        <v>39</v>
      </c>
      <c r="AM3" s="9">
        <v>1385981.72</v>
      </c>
      <c r="AP3" s="7" t="s">
        <v>39</v>
      </c>
      <c r="AQ3" s="9">
        <v>3649129.28</v>
      </c>
      <c r="AT3" s="7" t="s">
        <v>39</v>
      </c>
      <c r="AU3" s="9">
        <v>1232799.1000000001</v>
      </c>
      <c r="AX3" s="7" t="s">
        <v>39</v>
      </c>
      <c r="AY3" s="9">
        <v>696596.5</v>
      </c>
      <c r="BB3" s="7" t="s">
        <v>39</v>
      </c>
      <c r="BC3" s="9">
        <v>617353.97</v>
      </c>
      <c r="BF3" s="7" t="s">
        <v>39</v>
      </c>
      <c r="BG3" s="9">
        <v>1391878.42</v>
      </c>
      <c r="BJ3" s="7" t="s">
        <v>39</v>
      </c>
      <c r="BK3" s="9">
        <v>2488205.83</v>
      </c>
      <c r="BN3" s="7" t="s">
        <v>39</v>
      </c>
      <c r="BO3" s="9">
        <v>1862058.23</v>
      </c>
      <c r="BR3" s="7" t="s">
        <v>39</v>
      </c>
      <c r="BS3" s="9">
        <v>4285714.29</v>
      </c>
      <c r="BV3" s="7" t="s">
        <v>39</v>
      </c>
      <c r="BW3" s="9">
        <v>1609833.813203804</v>
      </c>
      <c r="BZ3" s="7" t="s">
        <v>39</v>
      </c>
      <c r="CA3" s="9">
        <v>1609833.813203804</v>
      </c>
      <c r="CD3" s="7" t="s">
        <v>39</v>
      </c>
      <c r="CE3" s="9">
        <v>1621972.14</v>
      </c>
      <c r="CH3" s="7" t="s">
        <v>39</v>
      </c>
      <c r="CI3" s="9">
        <v>972614.1</v>
      </c>
      <c r="CL3" s="7" t="s">
        <v>39</v>
      </c>
      <c r="CM3" s="9">
        <v>799986.59</v>
      </c>
      <c r="CP3" s="7" t="s">
        <v>39</v>
      </c>
      <c r="CQ3" s="9">
        <v>1833967.41</v>
      </c>
      <c r="CT3" s="7" t="s">
        <v>39</v>
      </c>
      <c r="CU3" s="9">
        <v>1595221.41</v>
      </c>
      <c r="CX3" s="7" t="s">
        <v>39</v>
      </c>
      <c r="CY3" s="9">
        <v>2545116.29</v>
      </c>
      <c r="DB3" s="7" t="s">
        <v>39</v>
      </c>
      <c r="DC3" s="9">
        <v>2809998.44</v>
      </c>
      <c r="DF3" s="7" t="s">
        <v>39</v>
      </c>
      <c r="DG3" s="9">
        <v>3196181.57</v>
      </c>
      <c r="DJ3" s="7" t="s">
        <v>39</v>
      </c>
      <c r="DK3" s="9">
        <v>640711.68999999994</v>
      </c>
      <c r="DN3" s="7" t="s">
        <v>39</v>
      </c>
      <c r="DO3" s="9">
        <v>784518.76</v>
      </c>
      <c r="DR3" s="7" t="s">
        <v>39</v>
      </c>
      <c r="DS3" s="9">
        <v>640711.68999999994</v>
      </c>
      <c r="DV3" s="7" t="s">
        <v>39</v>
      </c>
      <c r="DW3" s="9">
        <v>2328043.4700000002</v>
      </c>
      <c r="DZ3" s="7" t="s">
        <v>39</v>
      </c>
      <c r="EA3" s="9">
        <v>791200.32</v>
      </c>
      <c r="ED3" s="7" t="s">
        <v>39</v>
      </c>
      <c r="EE3" s="9">
        <v>1260355.28</v>
      </c>
      <c r="EH3" s="7" t="s">
        <v>39</v>
      </c>
      <c r="EI3" s="9">
        <v>1590696.89</v>
      </c>
      <c r="EL3" s="7" t="s">
        <v>39</v>
      </c>
      <c r="EM3" s="9">
        <v>968208.03</v>
      </c>
      <c r="EP3" s="7" t="s">
        <v>39</v>
      </c>
      <c r="EQ3" s="9">
        <v>1277924.55</v>
      </c>
      <c r="ET3" s="7" t="s">
        <v>39</v>
      </c>
      <c r="EU3" s="9">
        <v>1601325.28</v>
      </c>
      <c r="EX3" s="7" t="s">
        <v>39</v>
      </c>
      <c r="EY3" s="9">
        <v>2390376.42</v>
      </c>
      <c r="FB3" s="7" t="s">
        <v>39</v>
      </c>
      <c r="FC3" s="9">
        <v>1257495.1299999999</v>
      </c>
      <c r="FF3" s="7" t="s">
        <v>39</v>
      </c>
      <c r="FG3" s="9">
        <v>3148165.51</v>
      </c>
      <c r="FJ3" s="7" t="s">
        <v>39</v>
      </c>
      <c r="FK3" s="9">
        <v>1738355.96</v>
      </c>
      <c r="FN3" s="7" t="s">
        <v>39</v>
      </c>
      <c r="FO3" s="9">
        <v>1139546.72</v>
      </c>
      <c r="FR3" s="7" t="s">
        <v>39</v>
      </c>
      <c r="FS3" s="9">
        <v>1408665.64</v>
      </c>
      <c r="FV3" s="7" t="s">
        <v>39</v>
      </c>
      <c r="FW3" s="9">
        <v>1902229.48</v>
      </c>
      <c r="FZ3" s="7" t="s">
        <v>39</v>
      </c>
      <c r="GA3" s="9">
        <v>3941445.94</v>
      </c>
      <c r="GD3" s="7" t="s">
        <v>39</v>
      </c>
      <c r="GE3" s="9">
        <v>866875.87</v>
      </c>
      <c r="GH3" s="7" t="s">
        <v>39</v>
      </c>
      <c r="GI3" s="9">
        <v>2837841.08</v>
      </c>
      <c r="GL3" s="7" t="s">
        <v>39</v>
      </c>
      <c r="GM3" s="9">
        <v>945732.11</v>
      </c>
      <c r="GP3" s="7" t="s">
        <v>39</v>
      </c>
      <c r="GQ3" s="9">
        <v>1255962.58</v>
      </c>
      <c r="GT3" s="7" t="s">
        <v>39</v>
      </c>
      <c r="GU3" s="9">
        <v>1546238.52</v>
      </c>
      <c r="GX3" s="7" t="s">
        <v>39</v>
      </c>
      <c r="GY3" s="9">
        <v>921208.15</v>
      </c>
      <c r="HB3" s="7" t="s">
        <v>39</v>
      </c>
      <c r="HC3" s="9">
        <v>1535525.55</v>
      </c>
      <c r="HF3" s="7" t="s">
        <v>39</v>
      </c>
      <c r="HG3" s="9">
        <v>1100325.96</v>
      </c>
      <c r="HJ3" s="7" t="s">
        <v>39</v>
      </c>
      <c r="HK3" s="9">
        <v>763088.3</v>
      </c>
      <c r="HN3" s="7" t="s">
        <v>39</v>
      </c>
      <c r="HO3" s="9">
        <v>1373696.22</v>
      </c>
      <c r="HR3" s="7" t="s">
        <v>39</v>
      </c>
      <c r="HS3" s="9">
        <v>3040345.06</v>
      </c>
      <c r="HV3" s="7" t="s">
        <v>39</v>
      </c>
      <c r="HW3" s="9">
        <v>1523577.67</v>
      </c>
      <c r="HZ3" s="7" t="s">
        <v>39</v>
      </c>
      <c r="IA3" s="9">
        <v>1523476.16</v>
      </c>
      <c r="ID3" s="7" t="s">
        <v>39</v>
      </c>
      <c r="IE3" s="9">
        <v>1218659.1299999999</v>
      </c>
      <c r="IH3" s="7" t="s">
        <v>39</v>
      </c>
      <c r="II3" s="9">
        <v>1282646.3600000001</v>
      </c>
      <c r="IL3" s="7" t="s">
        <v>39</v>
      </c>
      <c r="IM3" s="9">
        <v>2578095.31</v>
      </c>
      <c r="IP3" s="7" t="s">
        <v>39</v>
      </c>
      <c r="IQ3" s="9">
        <v>1133247.21</v>
      </c>
      <c r="IT3" s="7" t="s">
        <v>39</v>
      </c>
      <c r="IU3" s="9">
        <v>1487711.27</v>
      </c>
      <c r="IX3" s="7" t="s">
        <v>39</v>
      </c>
      <c r="IY3" s="9">
        <v>1643163.28</v>
      </c>
      <c r="JB3" s="7" t="s">
        <v>39</v>
      </c>
      <c r="JC3" s="9">
        <v>985715.86</v>
      </c>
      <c r="JF3" s="7" t="s">
        <v>39</v>
      </c>
      <c r="JG3" s="9">
        <v>1480494.83</v>
      </c>
      <c r="JJ3" s="7" t="s">
        <v>39</v>
      </c>
      <c r="JK3" s="9">
        <v>992744.47</v>
      </c>
      <c r="JN3" s="7" t="s">
        <v>39</v>
      </c>
      <c r="JO3" s="9">
        <v>992090.65</v>
      </c>
      <c r="JR3" s="7" t="s">
        <v>39</v>
      </c>
      <c r="JS3" s="9">
        <v>1498483.24</v>
      </c>
      <c r="JV3" s="7" t="s">
        <v>39</v>
      </c>
      <c r="JW3" s="9">
        <v>1649035.98</v>
      </c>
      <c r="JZ3" s="7" t="s">
        <v>39</v>
      </c>
      <c r="KA3" s="9">
        <v>1480494.83</v>
      </c>
      <c r="KD3" s="7" t="s">
        <v>39</v>
      </c>
      <c r="KE3" s="9">
        <v>992744.47</v>
      </c>
      <c r="KH3" s="7" t="s">
        <v>39</v>
      </c>
      <c r="KI3" s="9">
        <v>992090.65</v>
      </c>
      <c r="KL3" s="7" t="s">
        <v>39</v>
      </c>
      <c r="KM3" s="9">
        <v>1498483.24</v>
      </c>
      <c r="KP3" s="7" t="s">
        <v>39</v>
      </c>
      <c r="KQ3" s="9">
        <v>3311186.79</v>
      </c>
      <c r="KT3" s="7" t="s">
        <v>39</v>
      </c>
      <c r="KU3" s="9">
        <v>3301653.47</v>
      </c>
      <c r="KX3" s="7" t="s">
        <v>39</v>
      </c>
      <c r="KY3" s="9">
        <v>2983746.49</v>
      </c>
      <c r="LB3" s="7" t="s">
        <v>39</v>
      </c>
      <c r="LC3" s="9">
        <v>2626536.21</v>
      </c>
      <c r="LF3" s="7" t="s">
        <v>39</v>
      </c>
      <c r="LG3" s="9">
        <v>993567.64</v>
      </c>
      <c r="LJ3" s="7" t="s">
        <v>39</v>
      </c>
      <c r="LK3" s="9">
        <v>2480468.0499999998</v>
      </c>
      <c r="LN3" s="7" t="s">
        <v>39</v>
      </c>
      <c r="LO3" s="9">
        <v>742619.92</v>
      </c>
      <c r="LR3" s="7" t="s">
        <v>39</v>
      </c>
      <c r="LS3" s="9">
        <v>2772060.43</v>
      </c>
      <c r="LV3" s="7" t="s">
        <v>39</v>
      </c>
      <c r="LW3" s="9">
        <v>831962.82</v>
      </c>
      <c r="LZ3" s="7" t="s">
        <v>39</v>
      </c>
      <c r="MA3" s="9">
        <v>974411.88</v>
      </c>
      <c r="MD3" s="7" t="s">
        <v>39</v>
      </c>
      <c r="ME3" s="9">
        <v>2861252.18</v>
      </c>
      <c r="MH3" s="7" t="s">
        <v>39</v>
      </c>
      <c r="MI3" s="9">
        <v>1770599.23</v>
      </c>
      <c r="ML3" s="7" t="s">
        <v>39</v>
      </c>
      <c r="MM3" s="9">
        <v>1581106.91</v>
      </c>
      <c r="MP3" s="7" t="s">
        <v>39</v>
      </c>
      <c r="MQ3" s="9">
        <v>1454274.7</v>
      </c>
      <c r="MT3" s="7" t="s">
        <v>39</v>
      </c>
      <c r="MU3" s="9">
        <v>1440190.61</v>
      </c>
    </row>
    <row r="4" spans="1:359" ht="15.75" thickBot="1" x14ac:dyDescent="0.3">
      <c r="F4" s="7"/>
      <c r="G4" s="10"/>
      <c r="K4" s="7"/>
      <c r="L4" s="10"/>
      <c r="P4" s="7" t="s">
        <v>40</v>
      </c>
      <c r="Q4" s="10">
        <v>1.44497167488987E-2</v>
      </c>
      <c r="Y4" s="7"/>
      <c r="Z4" s="10"/>
      <c r="AD4" s="7"/>
      <c r="AE4" s="10"/>
      <c r="AH4" s="7" t="s">
        <v>40</v>
      </c>
      <c r="AI4" s="10">
        <v>1.8504E-2</v>
      </c>
      <c r="AL4" s="7" t="s">
        <v>40</v>
      </c>
      <c r="AM4" s="10">
        <v>1.8043E-2</v>
      </c>
      <c r="AP4" s="7" t="s">
        <v>40</v>
      </c>
      <c r="AQ4" s="10">
        <v>1.9649400000000001E-2</v>
      </c>
      <c r="AT4" s="7" t="s">
        <v>40</v>
      </c>
      <c r="AU4" s="10">
        <v>2.1627138976599999E-2</v>
      </c>
      <c r="AX4" s="7" t="s">
        <v>40</v>
      </c>
      <c r="AY4" s="10">
        <v>1.9127890000000002E-2</v>
      </c>
      <c r="BB4" s="7" t="s">
        <v>40</v>
      </c>
      <c r="BC4" s="10">
        <v>2.1570302999999999E-2</v>
      </c>
      <c r="BF4" s="7" t="s">
        <v>40</v>
      </c>
      <c r="BG4" s="10">
        <v>2.0643244000000002E-2</v>
      </c>
      <c r="BJ4" s="7" t="s">
        <v>40</v>
      </c>
      <c r="BK4" s="10">
        <v>1.909748E-2</v>
      </c>
      <c r="BN4" s="7" t="s">
        <v>40</v>
      </c>
      <c r="BO4" s="10">
        <v>1.9154991999999999E-2</v>
      </c>
      <c r="BR4" s="7" t="s">
        <v>40</v>
      </c>
      <c r="BS4" s="10">
        <v>2.5192194000000001E-2</v>
      </c>
      <c r="BV4" s="7" t="s">
        <v>40</v>
      </c>
      <c r="BW4" s="10">
        <v>1.6561940000000001E-2</v>
      </c>
      <c r="BZ4" s="7" t="s">
        <v>40</v>
      </c>
      <c r="CA4" s="10">
        <v>1.6561940000000001E-2</v>
      </c>
      <c r="CD4" s="7" t="s">
        <v>40</v>
      </c>
      <c r="CE4" s="10">
        <v>1.5709839999999999E-2</v>
      </c>
      <c r="CH4" s="7" t="s">
        <v>40</v>
      </c>
      <c r="CI4" s="10">
        <v>1.5927614E-2</v>
      </c>
      <c r="CL4" s="7" t="s">
        <v>40</v>
      </c>
      <c r="CM4" s="10">
        <v>1.6987556000000001E-2</v>
      </c>
      <c r="CP4" s="7" t="s">
        <v>40</v>
      </c>
      <c r="CQ4" s="10">
        <v>1.4137232E-2</v>
      </c>
      <c r="CT4" s="7" t="s">
        <v>40</v>
      </c>
      <c r="CU4" s="10">
        <v>1.367853E-2</v>
      </c>
      <c r="CX4" s="7" t="s">
        <v>40</v>
      </c>
      <c r="CY4" s="10">
        <v>1.6080184000000001E-2</v>
      </c>
      <c r="DB4" s="7" t="s">
        <v>40</v>
      </c>
      <c r="DC4" s="10">
        <v>1.6250422E-2</v>
      </c>
      <c r="DF4" s="7" t="s">
        <v>40</v>
      </c>
      <c r="DG4" s="10">
        <v>1.7749384E-2</v>
      </c>
      <c r="DJ4" s="7" t="s">
        <v>40</v>
      </c>
      <c r="DK4" s="10">
        <v>1.28342775E-2</v>
      </c>
      <c r="DN4" s="7" t="s">
        <v>40</v>
      </c>
      <c r="DO4" s="10">
        <v>1.7623344999999999E-2</v>
      </c>
      <c r="DR4" s="7" t="s">
        <v>40</v>
      </c>
      <c r="DS4" s="10">
        <v>1.28342775E-2</v>
      </c>
      <c r="DV4" s="7" t="s">
        <v>40</v>
      </c>
      <c r="DW4" s="10">
        <v>1.7801277000000001E-2</v>
      </c>
      <c r="DZ4" s="7" t="s">
        <v>40</v>
      </c>
      <c r="EA4" s="10">
        <v>1.8912933E-2</v>
      </c>
      <c r="ED4" s="7" t="s">
        <v>40</v>
      </c>
      <c r="EE4" s="10">
        <v>1.7477260200000001E-2</v>
      </c>
      <c r="EH4" s="7" t="s">
        <v>40</v>
      </c>
      <c r="EI4" s="10">
        <v>1.9368864E-2</v>
      </c>
      <c r="EL4" s="7" t="s">
        <v>40</v>
      </c>
      <c r="EM4" s="10">
        <v>1.7836873E-2</v>
      </c>
      <c r="EP4" s="7" t="s">
        <v>40</v>
      </c>
      <c r="EQ4" s="10">
        <v>2.11188587E-2</v>
      </c>
      <c r="ET4" s="7" t="s">
        <v>40</v>
      </c>
      <c r="EU4" s="10">
        <v>2.0942705499999999E-2</v>
      </c>
      <c r="EX4" s="7" t="s">
        <v>40</v>
      </c>
      <c r="EY4" s="10">
        <v>1.4404027E-2</v>
      </c>
      <c r="FB4" s="7" t="s">
        <v>40</v>
      </c>
      <c r="FC4" s="10">
        <v>2.1506305E-2</v>
      </c>
      <c r="FF4" s="7" t="s">
        <v>40</v>
      </c>
      <c r="FG4" s="10">
        <v>2.0197819999999998E-2</v>
      </c>
      <c r="FJ4" s="7" t="s">
        <v>40</v>
      </c>
      <c r="FK4" s="10">
        <v>2.2026283000000001E-2</v>
      </c>
      <c r="FN4" s="7" t="s">
        <v>40</v>
      </c>
      <c r="FO4" s="10">
        <v>2.1401741299999999E-2</v>
      </c>
      <c r="FR4" s="7" t="s">
        <v>40</v>
      </c>
      <c r="FS4" s="10">
        <v>2.1120135000000002E-2</v>
      </c>
      <c r="FV4" s="7" t="s">
        <v>40</v>
      </c>
      <c r="FW4" s="10">
        <v>2.13533076E-2</v>
      </c>
      <c r="FZ4" s="7" t="s">
        <v>40</v>
      </c>
      <c r="GA4" s="10">
        <v>2.0289225000000001E-2</v>
      </c>
      <c r="GD4" s="7" t="s">
        <v>40</v>
      </c>
      <c r="GE4" s="10">
        <v>2.0192903000000002E-2</v>
      </c>
      <c r="GH4" s="7" t="s">
        <v>40</v>
      </c>
      <c r="GI4" s="10">
        <v>1.9700193000000001E-2</v>
      </c>
      <c r="GL4" s="7" t="s">
        <v>40</v>
      </c>
      <c r="GM4" s="10">
        <v>2.64E-2</v>
      </c>
      <c r="GP4" s="7" t="s">
        <v>40</v>
      </c>
      <c r="GQ4" s="10">
        <v>2.9492917800000001E-2</v>
      </c>
      <c r="GT4" s="7" t="s">
        <v>40</v>
      </c>
      <c r="GU4" s="10">
        <v>2.9039268E-2</v>
      </c>
      <c r="GX4" s="7" t="s">
        <v>40</v>
      </c>
      <c r="GY4" s="10">
        <v>2.7847245999999999E-2</v>
      </c>
      <c r="HB4" s="7" t="s">
        <v>40</v>
      </c>
      <c r="HC4" s="10">
        <v>2.6647357E-2</v>
      </c>
      <c r="HF4" s="7" t="s">
        <v>40</v>
      </c>
      <c r="HG4" s="10">
        <v>2.7231546999999998E-2</v>
      </c>
      <c r="HJ4" s="7" t="s">
        <v>40</v>
      </c>
      <c r="HK4" s="10">
        <v>2.64E-2</v>
      </c>
      <c r="HN4" s="7" t="s">
        <v>40</v>
      </c>
      <c r="HO4" s="10">
        <v>2.52E-2</v>
      </c>
      <c r="HR4" s="7" t="s">
        <v>40</v>
      </c>
      <c r="HS4" s="10">
        <v>3.2417014000000001E-2</v>
      </c>
      <c r="HV4" s="7" t="s">
        <v>40</v>
      </c>
      <c r="HW4" s="10">
        <v>2.60591186E-2</v>
      </c>
      <c r="HZ4" s="7" t="s">
        <v>40</v>
      </c>
      <c r="IA4" s="10">
        <v>2.7050841999999999E-2</v>
      </c>
      <c r="ID4" s="7" t="s">
        <v>40</v>
      </c>
      <c r="IE4" s="10">
        <v>4.3331554000000001E-2</v>
      </c>
      <c r="IH4" s="7" t="s">
        <v>40</v>
      </c>
      <c r="II4" s="10">
        <v>0.03</v>
      </c>
      <c r="IL4" s="7" t="s">
        <v>40</v>
      </c>
      <c r="IM4" s="10">
        <v>3.0427368999999999E-2</v>
      </c>
      <c r="IP4" s="7" t="s">
        <v>40</v>
      </c>
      <c r="IQ4" s="10">
        <v>0.03</v>
      </c>
      <c r="IT4" s="7" t="s">
        <v>40</v>
      </c>
      <c r="IU4" s="10">
        <v>2.2664587999999999E-2</v>
      </c>
      <c r="IX4" s="7" t="s">
        <v>40</v>
      </c>
      <c r="IY4" s="10">
        <v>2.2355885700000001E-2</v>
      </c>
      <c r="JB4" s="7" t="s">
        <v>40</v>
      </c>
      <c r="JC4" s="10">
        <v>1.9175281999999998E-2</v>
      </c>
      <c r="JF4" s="7" t="s">
        <v>40</v>
      </c>
      <c r="JG4" s="10">
        <v>1.8452586699999999E-2</v>
      </c>
      <c r="JJ4" s="7" t="s">
        <v>40</v>
      </c>
      <c r="JK4" s="10">
        <v>1.8637206999999999E-2</v>
      </c>
      <c r="JN4" s="7" t="s">
        <v>40</v>
      </c>
      <c r="JO4" s="10">
        <v>1.9189488099999999E-2</v>
      </c>
      <c r="JR4" s="7" t="s">
        <v>40</v>
      </c>
      <c r="JS4" s="10">
        <v>2.0889523E-2</v>
      </c>
      <c r="JV4" s="7" t="s">
        <v>40</v>
      </c>
      <c r="JW4" s="10">
        <v>2.2371894E-2</v>
      </c>
      <c r="JZ4" s="7" t="s">
        <v>40</v>
      </c>
      <c r="KA4" s="10">
        <v>1.8452586699999999E-2</v>
      </c>
      <c r="KD4" s="7" t="s">
        <v>40</v>
      </c>
      <c r="KE4" s="10">
        <v>1.8637206999999999E-2</v>
      </c>
      <c r="KH4" s="7" t="s">
        <v>40</v>
      </c>
      <c r="KI4" s="10">
        <v>1.9189488099999999E-2</v>
      </c>
      <c r="KL4" s="7" t="s">
        <v>40</v>
      </c>
      <c r="KM4" s="10">
        <v>2.0889523E-2</v>
      </c>
      <c r="KP4" s="7" t="s">
        <v>40</v>
      </c>
      <c r="KQ4" s="10">
        <v>2.54491783E-2</v>
      </c>
      <c r="KT4" s="7" t="s">
        <v>40</v>
      </c>
      <c r="KU4" s="10">
        <v>2.31142625E-2</v>
      </c>
      <c r="KX4" s="7" t="s">
        <v>40</v>
      </c>
      <c r="KY4" s="10">
        <v>2.23425532E-2</v>
      </c>
      <c r="LB4" s="7" t="s">
        <v>40</v>
      </c>
      <c r="LC4" s="10">
        <v>2.76E-2</v>
      </c>
      <c r="LF4" s="7" t="s">
        <v>40</v>
      </c>
      <c r="LG4" s="10">
        <v>3.2380889000000003E-2</v>
      </c>
      <c r="LJ4" s="7" t="s">
        <v>40</v>
      </c>
      <c r="LK4" s="10">
        <v>2.4865069E-2</v>
      </c>
      <c r="LN4" s="7" t="s">
        <v>40</v>
      </c>
      <c r="LO4" s="10">
        <v>2.5773260999999999E-2</v>
      </c>
      <c r="LR4" s="7" t="s">
        <v>40</v>
      </c>
      <c r="LS4" s="10">
        <v>2.3156016000000001E-2</v>
      </c>
      <c r="LV4" s="7" t="s">
        <v>40</v>
      </c>
      <c r="LW4" s="10">
        <v>2.4771301999999999E-2</v>
      </c>
      <c r="LZ4" s="7" t="s">
        <v>40</v>
      </c>
      <c r="MA4" s="10">
        <v>2.4440427899999999E-2</v>
      </c>
      <c r="MD4" s="7" t="s">
        <v>40</v>
      </c>
      <c r="ME4" s="10">
        <v>2.2971475200000001E-2</v>
      </c>
      <c r="MH4" s="7" t="s">
        <v>40</v>
      </c>
      <c r="MI4" s="10">
        <v>2.4397536000000001E-2</v>
      </c>
      <c r="ML4" s="7" t="s">
        <v>40</v>
      </c>
      <c r="MM4" s="10">
        <v>2.3255324000000001E-2</v>
      </c>
      <c r="MP4" s="7" t="s">
        <v>40</v>
      </c>
      <c r="MQ4" s="10">
        <v>2.8117171100000001E-2</v>
      </c>
      <c r="MT4" s="7" t="s">
        <v>40</v>
      </c>
      <c r="MU4" s="10">
        <v>2.52E-2</v>
      </c>
    </row>
    <row r="5" spans="1:359" ht="15.75" thickBot="1" x14ac:dyDescent="0.3">
      <c r="D5" s="3"/>
      <c r="F5" s="7"/>
      <c r="G5" s="11"/>
      <c r="I5" s="3"/>
      <c r="K5" s="7"/>
      <c r="L5" s="11"/>
      <c r="N5" s="3"/>
      <c r="P5" s="7" t="s">
        <v>41</v>
      </c>
      <c r="Q5" s="11">
        <v>98</v>
      </c>
      <c r="W5" s="3"/>
      <c r="Y5" s="7"/>
      <c r="Z5" s="11"/>
      <c r="AB5" s="3"/>
      <c r="AD5" s="7"/>
      <c r="AE5" s="11"/>
      <c r="AG5" s="3"/>
      <c r="AH5" s="7" t="s">
        <v>41</v>
      </c>
      <c r="AI5" s="11">
        <v>33</v>
      </c>
      <c r="AK5" s="3"/>
      <c r="AL5" s="7" t="s">
        <v>41</v>
      </c>
      <c r="AM5" s="11">
        <v>40</v>
      </c>
      <c r="AO5" s="3"/>
      <c r="AP5" s="7" t="s">
        <v>41</v>
      </c>
      <c r="AQ5" s="11">
        <v>38</v>
      </c>
      <c r="AS5" s="3"/>
      <c r="AT5" s="7" t="s">
        <v>41</v>
      </c>
      <c r="AU5" s="11">
        <v>28</v>
      </c>
      <c r="AW5" s="3"/>
      <c r="AX5" s="7" t="s">
        <v>41</v>
      </c>
      <c r="AY5" s="11">
        <v>30</v>
      </c>
      <c r="BA5" s="3"/>
      <c r="BB5" s="7" t="s">
        <v>41</v>
      </c>
      <c r="BC5" s="11">
        <v>27</v>
      </c>
      <c r="BE5" s="3"/>
      <c r="BF5" s="7" t="s">
        <v>41</v>
      </c>
      <c r="BG5" s="11">
        <v>34</v>
      </c>
      <c r="BI5" s="3"/>
      <c r="BJ5" s="7" t="s">
        <v>41</v>
      </c>
      <c r="BK5" s="11">
        <v>23</v>
      </c>
      <c r="BM5" s="3"/>
      <c r="BN5" s="7" t="s">
        <v>41</v>
      </c>
      <c r="BO5" s="11">
        <v>52</v>
      </c>
      <c r="BQ5" s="3"/>
      <c r="BR5" s="7" t="s">
        <v>41</v>
      </c>
      <c r="BS5" s="11">
        <v>57</v>
      </c>
      <c r="BU5" s="3"/>
      <c r="BV5" s="7" t="s">
        <v>41</v>
      </c>
      <c r="BW5" s="11">
        <v>26</v>
      </c>
      <c r="BY5" s="3"/>
      <c r="BZ5" s="7" t="s">
        <v>41</v>
      </c>
      <c r="CA5" s="11">
        <v>26</v>
      </c>
      <c r="CC5" s="3"/>
      <c r="CD5" s="7" t="s">
        <v>41</v>
      </c>
      <c r="CE5" s="11">
        <v>34</v>
      </c>
      <c r="CG5" s="3"/>
      <c r="CH5" s="7" t="s">
        <v>41</v>
      </c>
      <c r="CI5" s="11">
        <v>42</v>
      </c>
      <c r="CK5" s="3"/>
      <c r="CL5" s="7" t="s">
        <v>41</v>
      </c>
      <c r="CM5" s="11">
        <v>66</v>
      </c>
      <c r="CO5" s="3"/>
      <c r="CP5" s="7" t="s">
        <v>41</v>
      </c>
      <c r="CQ5" s="11">
        <v>23</v>
      </c>
      <c r="CS5" s="3"/>
      <c r="CT5" s="7" t="s">
        <v>41</v>
      </c>
      <c r="CU5" s="11">
        <v>19</v>
      </c>
      <c r="CW5" s="3"/>
      <c r="CX5" s="7" t="s">
        <v>41</v>
      </c>
      <c r="CY5" s="11">
        <v>48</v>
      </c>
      <c r="DA5" s="3"/>
      <c r="DB5" s="7" t="s">
        <v>41</v>
      </c>
      <c r="DC5" s="11">
        <v>28</v>
      </c>
      <c r="DE5" s="3"/>
      <c r="DF5" s="7" t="s">
        <v>41</v>
      </c>
      <c r="DG5" s="11">
        <v>47</v>
      </c>
      <c r="DI5" s="3"/>
      <c r="DJ5" s="7" t="s">
        <v>41</v>
      </c>
      <c r="DK5" s="11">
        <v>7</v>
      </c>
      <c r="DM5" s="3"/>
      <c r="DN5" s="7" t="s">
        <v>41</v>
      </c>
      <c r="DO5" s="11">
        <v>20</v>
      </c>
      <c r="DQ5" s="3"/>
      <c r="DR5" s="7" t="s">
        <v>41</v>
      </c>
      <c r="DS5" s="11">
        <v>7</v>
      </c>
      <c r="DU5" s="3"/>
      <c r="DV5" s="7" t="s">
        <v>41</v>
      </c>
      <c r="DW5" s="11">
        <v>92</v>
      </c>
      <c r="DY5" s="3"/>
      <c r="DZ5" s="7" t="s">
        <v>41</v>
      </c>
      <c r="EA5" s="11">
        <v>103</v>
      </c>
      <c r="EC5" s="3"/>
      <c r="ED5" s="7" t="s">
        <v>41</v>
      </c>
      <c r="EE5" s="11">
        <v>28</v>
      </c>
      <c r="EG5" s="3"/>
      <c r="EH5" s="7" t="s">
        <v>41</v>
      </c>
      <c r="EI5" s="11">
        <v>36</v>
      </c>
      <c r="EK5" s="3"/>
      <c r="EL5" s="7" t="s">
        <v>41</v>
      </c>
      <c r="EM5" s="11">
        <v>17</v>
      </c>
      <c r="EO5" s="3"/>
      <c r="EP5" s="7" t="s">
        <v>41</v>
      </c>
      <c r="EQ5" s="11">
        <v>77</v>
      </c>
      <c r="ES5" s="3"/>
      <c r="ET5" s="7" t="s">
        <v>41</v>
      </c>
      <c r="EU5" s="11">
        <v>34</v>
      </c>
      <c r="EW5" s="3"/>
      <c r="EX5" s="7" t="s">
        <v>41</v>
      </c>
      <c r="EY5" s="11">
        <v>13</v>
      </c>
      <c r="FA5" s="3"/>
      <c r="FB5" s="7" t="s">
        <v>41</v>
      </c>
      <c r="FC5" s="11">
        <v>76</v>
      </c>
      <c r="FE5" s="3"/>
      <c r="FF5" s="7" t="s">
        <v>41</v>
      </c>
      <c r="FG5" s="11">
        <v>71</v>
      </c>
      <c r="FI5" s="3"/>
      <c r="FJ5" s="7" t="s">
        <v>41</v>
      </c>
      <c r="FK5" s="11">
        <v>68</v>
      </c>
      <c r="FM5" s="3"/>
      <c r="FN5" s="7" t="s">
        <v>41</v>
      </c>
      <c r="FO5" s="11">
        <v>34</v>
      </c>
      <c r="FQ5" s="3"/>
      <c r="FR5" s="7" t="s">
        <v>41</v>
      </c>
      <c r="FS5" s="11">
        <v>30</v>
      </c>
      <c r="FU5" s="3"/>
      <c r="FV5" s="7" t="s">
        <v>41</v>
      </c>
      <c r="FW5" s="11">
        <v>43</v>
      </c>
      <c r="FY5" s="3"/>
      <c r="FZ5" s="7" t="s">
        <v>41</v>
      </c>
      <c r="GA5" s="11">
        <v>29</v>
      </c>
      <c r="GC5" s="3"/>
      <c r="GD5" s="7" t="s">
        <v>41</v>
      </c>
      <c r="GE5" s="11">
        <v>33</v>
      </c>
      <c r="GG5" s="3"/>
      <c r="GH5" s="7" t="s">
        <v>41</v>
      </c>
      <c r="GI5" s="11">
        <v>29</v>
      </c>
      <c r="GK5" s="3"/>
      <c r="GL5" s="7" t="s">
        <v>41</v>
      </c>
      <c r="GM5" s="11">
        <v>20</v>
      </c>
      <c r="GO5" s="3"/>
      <c r="GP5" s="7" t="s">
        <v>41</v>
      </c>
      <c r="GQ5" s="11">
        <v>30</v>
      </c>
      <c r="GS5" s="3"/>
      <c r="GT5" s="7" t="s">
        <v>41</v>
      </c>
      <c r="GU5" s="11">
        <v>35</v>
      </c>
      <c r="GW5" s="3"/>
      <c r="GX5" s="7" t="s">
        <v>41</v>
      </c>
      <c r="GY5" s="11">
        <v>35</v>
      </c>
      <c r="HA5" s="3"/>
      <c r="HB5" s="7" t="s">
        <v>41</v>
      </c>
      <c r="HC5" s="11">
        <v>35</v>
      </c>
      <c r="HE5" s="3"/>
      <c r="HF5" s="7" t="s">
        <v>41</v>
      </c>
      <c r="HG5" s="11">
        <v>30</v>
      </c>
      <c r="HI5" s="3"/>
      <c r="HJ5" s="7" t="s">
        <v>41</v>
      </c>
      <c r="HK5" s="11">
        <v>9</v>
      </c>
      <c r="HM5" s="3"/>
      <c r="HN5" s="7" t="s">
        <v>41</v>
      </c>
      <c r="HO5" s="11">
        <v>8</v>
      </c>
      <c r="HQ5" s="3"/>
      <c r="HR5" s="7" t="s">
        <v>41</v>
      </c>
      <c r="HS5" s="11">
        <v>32</v>
      </c>
      <c r="HU5" s="3"/>
      <c r="HV5" s="7" t="s">
        <v>41</v>
      </c>
      <c r="HW5" s="11">
        <v>8</v>
      </c>
      <c r="HY5" s="3"/>
      <c r="HZ5" s="7" t="s">
        <v>41</v>
      </c>
      <c r="IA5" s="11">
        <v>9</v>
      </c>
      <c r="IC5" s="3"/>
      <c r="ID5" s="7" t="s">
        <v>41</v>
      </c>
      <c r="IE5" s="11">
        <v>10</v>
      </c>
      <c r="IG5" s="3"/>
      <c r="IH5" s="7" t="s">
        <v>41</v>
      </c>
      <c r="II5" s="11">
        <v>33</v>
      </c>
      <c r="IK5" s="3"/>
      <c r="IL5" s="7" t="s">
        <v>41</v>
      </c>
      <c r="IM5" s="11">
        <v>41</v>
      </c>
      <c r="IO5" s="3"/>
      <c r="IP5" s="7" t="s">
        <v>41</v>
      </c>
      <c r="IQ5" s="11">
        <v>33</v>
      </c>
      <c r="IS5" s="3"/>
      <c r="IT5" s="7" t="s">
        <v>41</v>
      </c>
      <c r="IU5" s="11">
        <v>30</v>
      </c>
      <c r="IW5" s="3"/>
      <c r="IX5" s="7" t="s">
        <v>41</v>
      </c>
      <c r="IY5" s="11">
        <v>34</v>
      </c>
      <c r="JA5" s="3"/>
      <c r="JB5" s="7" t="s">
        <v>41</v>
      </c>
      <c r="JC5" s="11">
        <v>58</v>
      </c>
      <c r="JE5" s="3"/>
      <c r="JF5" s="7" t="s">
        <v>41</v>
      </c>
      <c r="JG5" s="11">
        <v>41</v>
      </c>
      <c r="JI5" s="3"/>
      <c r="JJ5" s="7" t="s">
        <v>41</v>
      </c>
      <c r="JK5" s="11">
        <v>20</v>
      </c>
      <c r="JM5" s="3"/>
      <c r="JN5" s="7" t="s">
        <v>41</v>
      </c>
      <c r="JO5" s="11">
        <v>29</v>
      </c>
      <c r="JQ5" s="3"/>
      <c r="JR5" s="7" t="s">
        <v>41</v>
      </c>
      <c r="JS5" s="11">
        <v>35</v>
      </c>
      <c r="JU5" s="3"/>
      <c r="JV5" s="7" t="s">
        <v>41</v>
      </c>
      <c r="JW5" s="11">
        <v>63</v>
      </c>
      <c r="JY5" s="3"/>
      <c r="JZ5" s="7" t="s">
        <v>41</v>
      </c>
      <c r="KA5" s="11">
        <v>41</v>
      </c>
      <c r="KC5" s="3"/>
      <c r="KD5" s="7" t="s">
        <v>41</v>
      </c>
      <c r="KE5" s="11">
        <v>20</v>
      </c>
      <c r="KG5" s="3"/>
      <c r="KH5" s="7" t="s">
        <v>41</v>
      </c>
      <c r="KI5" s="11">
        <v>29</v>
      </c>
      <c r="KK5" s="3"/>
      <c r="KL5" s="7" t="s">
        <v>41</v>
      </c>
      <c r="KM5" s="11">
        <v>35</v>
      </c>
      <c r="KO5" s="3"/>
      <c r="KP5" s="7" t="s">
        <v>41</v>
      </c>
      <c r="KQ5" s="11">
        <v>24</v>
      </c>
      <c r="KS5" s="3"/>
      <c r="KT5" s="7" t="s">
        <v>41</v>
      </c>
      <c r="KU5" s="11">
        <v>51</v>
      </c>
      <c r="KW5" s="3"/>
      <c r="KX5" s="7" t="s">
        <v>41</v>
      </c>
      <c r="KY5" s="11">
        <v>42</v>
      </c>
      <c r="LA5" s="3"/>
      <c r="LB5" s="7" t="s">
        <v>41</v>
      </c>
      <c r="LC5" s="11">
        <v>79</v>
      </c>
      <c r="LE5" s="3"/>
      <c r="LF5" s="7" t="s">
        <v>41</v>
      </c>
      <c r="LG5" s="11">
        <v>20</v>
      </c>
      <c r="LI5" s="3"/>
      <c r="LJ5" s="7" t="s">
        <v>41</v>
      </c>
      <c r="LK5" s="11">
        <v>39</v>
      </c>
      <c r="LM5" s="3"/>
      <c r="LN5" s="7" t="s">
        <v>41</v>
      </c>
      <c r="LO5" s="11">
        <v>67</v>
      </c>
      <c r="LQ5" s="3"/>
      <c r="LR5" s="7" t="s">
        <v>41</v>
      </c>
      <c r="LS5" s="11">
        <v>36</v>
      </c>
      <c r="LU5" s="3"/>
      <c r="LV5" s="7" t="s">
        <v>41</v>
      </c>
      <c r="LW5" s="11">
        <v>14</v>
      </c>
      <c r="LY5" s="3"/>
      <c r="LZ5" s="7" t="s">
        <v>41</v>
      </c>
      <c r="MA5" s="11">
        <v>39</v>
      </c>
      <c r="MC5" s="3"/>
      <c r="MD5" s="7" t="s">
        <v>41</v>
      </c>
      <c r="ME5" s="11">
        <v>34</v>
      </c>
      <c r="MG5" s="3"/>
      <c r="MH5" s="7" t="s">
        <v>41</v>
      </c>
      <c r="MI5" s="11">
        <v>29</v>
      </c>
      <c r="MK5" s="3"/>
      <c r="ML5" s="7" t="s">
        <v>41</v>
      </c>
      <c r="MM5" s="11">
        <v>23</v>
      </c>
      <c r="MO5" s="3"/>
      <c r="MP5" s="7" t="s">
        <v>41</v>
      </c>
      <c r="MQ5" s="11">
        <v>20</v>
      </c>
      <c r="MS5" s="3"/>
      <c r="MT5" s="7" t="s">
        <v>41</v>
      </c>
      <c r="MU5" s="11">
        <v>21</v>
      </c>
    </row>
    <row r="7" spans="1:359" x14ac:dyDescent="0.25">
      <c r="A7" s="344" t="s">
        <v>49</v>
      </c>
      <c r="B7" s="344"/>
      <c r="D7" s="12" t="s">
        <v>41</v>
      </c>
      <c r="E7" s="12" t="s">
        <v>42</v>
      </c>
      <c r="I7" s="12" t="s">
        <v>41</v>
      </c>
      <c r="J7" s="12" t="s">
        <v>42</v>
      </c>
      <c r="N7" s="12" t="s">
        <v>41</v>
      </c>
      <c r="O7" s="12" t="s">
        <v>42</v>
      </c>
      <c r="T7" s="344" t="s">
        <v>49</v>
      </c>
      <c r="U7" s="344"/>
      <c r="W7" s="12" t="s">
        <v>41</v>
      </c>
      <c r="X7" s="12" t="s">
        <v>42</v>
      </c>
      <c r="AB7" s="12" t="s">
        <v>41</v>
      </c>
      <c r="AC7" s="12" t="s">
        <v>42</v>
      </c>
      <c r="AG7" s="12" t="s">
        <v>41</v>
      </c>
      <c r="AH7" s="12" t="s">
        <v>42</v>
      </c>
      <c r="AK7" s="12" t="s">
        <v>41</v>
      </c>
      <c r="AL7" s="12" t="s">
        <v>42</v>
      </c>
      <c r="AO7" s="12" t="s">
        <v>41</v>
      </c>
      <c r="AP7" s="12" t="s">
        <v>42</v>
      </c>
      <c r="AS7" s="12" t="s">
        <v>41</v>
      </c>
      <c r="AT7" s="12" t="s">
        <v>42</v>
      </c>
      <c r="AW7" s="12" t="s">
        <v>41</v>
      </c>
      <c r="AX7" s="12" t="s">
        <v>42</v>
      </c>
      <c r="BA7" s="12" t="s">
        <v>41</v>
      </c>
      <c r="BB7" s="12" t="s">
        <v>42</v>
      </c>
      <c r="BE7" s="12" t="s">
        <v>41</v>
      </c>
      <c r="BF7" s="12" t="s">
        <v>42</v>
      </c>
      <c r="BI7" s="12" t="s">
        <v>41</v>
      </c>
      <c r="BJ7" s="12" t="s">
        <v>42</v>
      </c>
      <c r="BM7" s="12" t="s">
        <v>41</v>
      </c>
      <c r="BN7" s="12" t="s">
        <v>42</v>
      </c>
      <c r="BQ7" s="12" t="s">
        <v>41</v>
      </c>
      <c r="BR7" s="12" t="s">
        <v>42</v>
      </c>
      <c r="BU7" s="12" t="s">
        <v>41</v>
      </c>
      <c r="BV7" s="12" t="s">
        <v>42</v>
      </c>
      <c r="BY7" s="12" t="s">
        <v>41</v>
      </c>
      <c r="BZ7" s="12" t="s">
        <v>42</v>
      </c>
      <c r="CC7" s="12" t="s">
        <v>41</v>
      </c>
      <c r="CD7" s="12" t="s">
        <v>42</v>
      </c>
      <c r="CG7" s="12" t="s">
        <v>41</v>
      </c>
      <c r="CH7" s="12" t="s">
        <v>42</v>
      </c>
      <c r="CK7" s="12" t="s">
        <v>41</v>
      </c>
      <c r="CL7" s="12" t="s">
        <v>42</v>
      </c>
      <c r="CO7" s="12" t="s">
        <v>41</v>
      </c>
      <c r="CP7" s="12" t="s">
        <v>42</v>
      </c>
      <c r="CS7" s="12" t="s">
        <v>41</v>
      </c>
      <c r="CT7" s="12" t="s">
        <v>42</v>
      </c>
      <c r="CW7" s="12" t="s">
        <v>41</v>
      </c>
      <c r="CX7" s="12" t="s">
        <v>42</v>
      </c>
      <c r="DA7" s="12" t="s">
        <v>41</v>
      </c>
      <c r="DB7" s="12" t="s">
        <v>42</v>
      </c>
      <c r="DE7" s="12" t="s">
        <v>41</v>
      </c>
      <c r="DF7" s="12" t="s">
        <v>42</v>
      </c>
      <c r="DI7" s="12" t="s">
        <v>41</v>
      </c>
      <c r="DJ7" s="12" t="s">
        <v>42</v>
      </c>
      <c r="DM7" s="12" t="s">
        <v>41</v>
      </c>
      <c r="DN7" s="12" t="s">
        <v>42</v>
      </c>
      <c r="DQ7" s="12" t="s">
        <v>41</v>
      </c>
      <c r="DR7" s="12" t="s">
        <v>42</v>
      </c>
      <c r="DU7" s="12" t="s">
        <v>41</v>
      </c>
      <c r="DV7" s="12" t="s">
        <v>42</v>
      </c>
      <c r="DY7" s="12" t="s">
        <v>41</v>
      </c>
      <c r="DZ7" s="12" t="s">
        <v>42</v>
      </c>
      <c r="EC7" s="12" t="s">
        <v>41</v>
      </c>
      <c r="ED7" s="12" t="s">
        <v>42</v>
      </c>
      <c r="EG7" s="12" t="s">
        <v>41</v>
      </c>
      <c r="EH7" s="12" t="s">
        <v>42</v>
      </c>
      <c r="EK7" s="12" t="s">
        <v>41</v>
      </c>
      <c r="EL7" s="12" t="s">
        <v>42</v>
      </c>
      <c r="EO7" s="12" t="s">
        <v>41</v>
      </c>
      <c r="EP7" s="12" t="s">
        <v>42</v>
      </c>
      <c r="ES7" s="12" t="s">
        <v>41</v>
      </c>
      <c r="ET7" s="12" t="s">
        <v>42</v>
      </c>
      <c r="EW7" s="12" t="s">
        <v>41</v>
      </c>
      <c r="EX7" s="12" t="s">
        <v>42</v>
      </c>
      <c r="FA7" s="12" t="s">
        <v>41</v>
      </c>
      <c r="FB7" s="12" t="s">
        <v>42</v>
      </c>
      <c r="FE7" s="12" t="s">
        <v>41</v>
      </c>
      <c r="FF7" s="12" t="s">
        <v>42</v>
      </c>
      <c r="FI7" s="12" t="s">
        <v>41</v>
      </c>
      <c r="FJ7" s="12" t="s">
        <v>42</v>
      </c>
      <c r="FM7" s="12" t="s">
        <v>41</v>
      </c>
      <c r="FN7" s="12" t="s">
        <v>42</v>
      </c>
      <c r="FQ7" s="12" t="s">
        <v>41</v>
      </c>
      <c r="FR7" s="12" t="s">
        <v>42</v>
      </c>
      <c r="FU7" s="12" t="s">
        <v>41</v>
      </c>
      <c r="FV7" s="12" t="s">
        <v>42</v>
      </c>
      <c r="FY7" s="12" t="s">
        <v>41</v>
      </c>
      <c r="FZ7" s="12" t="s">
        <v>42</v>
      </c>
      <c r="GC7" s="12" t="s">
        <v>41</v>
      </c>
      <c r="GD7" s="12" t="s">
        <v>42</v>
      </c>
      <c r="GG7" s="12" t="s">
        <v>41</v>
      </c>
      <c r="GH7" s="12" t="s">
        <v>42</v>
      </c>
      <c r="GK7" s="12" t="s">
        <v>41</v>
      </c>
      <c r="GL7" s="12" t="s">
        <v>42</v>
      </c>
      <c r="GO7" s="12" t="s">
        <v>41</v>
      </c>
      <c r="GP7" s="12" t="s">
        <v>42</v>
      </c>
      <c r="GS7" s="12" t="s">
        <v>41</v>
      </c>
      <c r="GT7" s="12" t="s">
        <v>42</v>
      </c>
      <c r="GW7" s="12" t="s">
        <v>41</v>
      </c>
      <c r="GX7" s="12" t="s">
        <v>42</v>
      </c>
      <c r="HA7" s="12" t="s">
        <v>41</v>
      </c>
      <c r="HB7" s="12" t="s">
        <v>42</v>
      </c>
      <c r="HE7" s="12" t="s">
        <v>41</v>
      </c>
      <c r="HF7" s="12" t="s">
        <v>42</v>
      </c>
      <c r="HI7" s="12" t="s">
        <v>41</v>
      </c>
      <c r="HJ7" s="12" t="s">
        <v>42</v>
      </c>
      <c r="HM7" s="12" t="s">
        <v>41</v>
      </c>
      <c r="HN7" s="12" t="s">
        <v>42</v>
      </c>
      <c r="HQ7" s="12" t="s">
        <v>41</v>
      </c>
      <c r="HR7" s="12" t="s">
        <v>42</v>
      </c>
      <c r="HU7" s="12" t="s">
        <v>41</v>
      </c>
      <c r="HV7" s="12" t="s">
        <v>42</v>
      </c>
      <c r="HY7" s="12" t="s">
        <v>41</v>
      </c>
      <c r="HZ7" s="12" t="s">
        <v>42</v>
      </c>
      <c r="IC7" s="12" t="s">
        <v>41</v>
      </c>
      <c r="ID7" s="12" t="s">
        <v>42</v>
      </c>
      <c r="IG7" s="12" t="s">
        <v>41</v>
      </c>
      <c r="IH7" s="12" t="s">
        <v>42</v>
      </c>
      <c r="IK7" s="12" t="s">
        <v>41</v>
      </c>
      <c r="IL7" s="12" t="s">
        <v>42</v>
      </c>
      <c r="IO7" s="12" t="s">
        <v>41</v>
      </c>
      <c r="IP7" s="12" t="s">
        <v>42</v>
      </c>
      <c r="IS7" s="12" t="s">
        <v>41</v>
      </c>
      <c r="IT7" s="12" t="s">
        <v>42</v>
      </c>
      <c r="IW7" s="12" t="s">
        <v>41</v>
      </c>
      <c r="IX7" s="12" t="s">
        <v>42</v>
      </c>
      <c r="JA7" s="12" t="s">
        <v>41</v>
      </c>
      <c r="JB7" s="12" t="s">
        <v>42</v>
      </c>
      <c r="JE7" s="12" t="s">
        <v>41</v>
      </c>
      <c r="JF7" s="12" t="s">
        <v>42</v>
      </c>
      <c r="JI7" s="12" t="s">
        <v>41</v>
      </c>
      <c r="JJ7" s="12" t="s">
        <v>42</v>
      </c>
      <c r="JM7" s="12" t="s">
        <v>41</v>
      </c>
      <c r="JN7" s="12" t="s">
        <v>42</v>
      </c>
      <c r="JQ7" s="12" t="s">
        <v>41</v>
      </c>
      <c r="JR7" s="12" t="s">
        <v>42</v>
      </c>
      <c r="JU7" s="12" t="s">
        <v>41</v>
      </c>
      <c r="JV7" s="12" t="s">
        <v>42</v>
      </c>
      <c r="JY7" s="12" t="s">
        <v>41</v>
      </c>
      <c r="JZ7" s="12" t="s">
        <v>42</v>
      </c>
      <c r="KC7" s="12" t="s">
        <v>41</v>
      </c>
      <c r="KD7" s="12" t="s">
        <v>42</v>
      </c>
      <c r="KG7" s="12" t="s">
        <v>41</v>
      </c>
      <c r="KH7" s="12" t="s">
        <v>42</v>
      </c>
      <c r="KK7" s="12" t="s">
        <v>41</v>
      </c>
      <c r="KL7" s="12" t="s">
        <v>42</v>
      </c>
      <c r="KO7" s="12" t="s">
        <v>41</v>
      </c>
      <c r="KP7" s="12" t="s">
        <v>42</v>
      </c>
      <c r="KS7" s="12" t="s">
        <v>41</v>
      </c>
      <c r="KT7" s="12" t="s">
        <v>42</v>
      </c>
      <c r="KW7" s="12" t="s">
        <v>41</v>
      </c>
      <c r="KX7" s="12" t="s">
        <v>42</v>
      </c>
      <c r="LA7" s="12" t="s">
        <v>41</v>
      </c>
      <c r="LB7" s="12" t="s">
        <v>42</v>
      </c>
      <c r="LE7" s="12" t="s">
        <v>41</v>
      </c>
      <c r="LF7" s="12" t="s">
        <v>42</v>
      </c>
      <c r="LI7" s="12" t="s">
        <v>41</v>
      </c>
      <c r="LJ7" s="12" t="s">
        <v>42</v>
      </c>
      <c r="LM7" s="12" t="s">
        <v>41</v>
      </c>
      <c r="LN7" s="12" t="s">
        <v>42</v>
      </c>
      <c r="LQ7" s="12" t="s">
        <v>41</v>
      </c>
      <c r="LR7" s="12" t="s">
        <v>42</v>
      </c>
      <c r="LU7" s="12" t="s">
        <v>41</v>
      </c>
      <c r="LV7" s="12" t="s">
        <v>42</v>
      </c>
      <c r="LY7" s="12" t="s">
        <v>41</v>
      </c>
      <c r="LZ7" s="12" t="s">
        <v>42</v>
      </c>
      <c r="MC7" s="12" t="s">
        <v>41</v>
      </c>
      <c r="MD7" s="12" t="s">
        <v>42</v>
      </c>
      <c r="MG7" s="12" t="s">
        <v>41</v>
      </c>
      <c r="MH7" s="12" t="s">
        <v>42</v>
      </c>
      <c r="MK7" s="12" t="s">
        <v>41</v>
      </c>
      <c r="ML7" s="12" t="s">
        <v>42</v>
      </c>
      <c r="MO7" s="12" t="s">
        <v>41</v>
      </c>
      <c r="MP7" s="12" t="s">
        <v>42</v>
      </c>
      <c r="MS7" s="12" t="s">
        <v>41</v>
      </c>
      <c r="MT7" s="12" t="s">
        <v>42</v>
      </c>
    </row>
    <row r="8" spans="1:359" x14ac:dyDescent="0.25">
      <c r="A8" s="15">
        <f>+O8</f>
        <v>731283.96</v>
      </c>
      <c r="B8" s="20">
        <v>42702</v>
      </c>
      <c r="D8" s="12">
        <v>168</v>
      </c>
      <c r="E8" s="13">
        <v>1139594.908444145</v>
      </c>
      <c r="F8" s="14">
        <v>42432</v>
      </c>
      <c r="I8" s="12">
        <v>33</v>
      </c>
      <c r="J8" s="17">
        <v>1191620.1458161741</v>
      </c>
      <c r="K8" s="14">
        <v>42474</v>
      </c>
      <c r="N8" s="65">
        <f>+Q5</f>
        <v>98</v>
      </c>
      <c r="O8" s="13">
        <f>($Q$2/(1+$Q$4*N8/360))</f>
        <v>731283.96</v>
      </c>
      <c r="P8" s="14">
        <v>42702</v>
      </c>
      <c r="T8" s="15">
        <f>+AH8</f>
        <v>1533685.57</v>
      </c>
      <c r="U8" s="20">
        <v>42951</v>
      </c>
      <c r="W8" s="12">
        <v>168</v>
      </c>
      <c r="X8" s="13">
        <v>1139594.908444145</v>
      </c>
      <c r="Y8" s="14">
        <v>42432</v>
      </c>
      <c r="AB8" s="12">
        <v>33</v>
      </c>
      <c r="AC8" s="17">
        <v>1191620.1458161741</v>
      </c>
      <c r="AD8" s="14">
        <v>42474</v>
      </c>
      <c r="AG8" s="65">
        <f>+AI5</f>
        <v>33</v>
      </c>
      <c r="AH8" s="13">
        <f t="shared" ref="AH8:AH40" si="0">($AI$2/(1+$AI$4*AG8/360))</f>
        <v>1533685.57</v>
      </c>
      <c r="AI8" s="14">
        <v>42951</v>
      </c>
      <c r="AK8" s="65">
        <f>+AM5</f>
        <v>40</v>
      </c>
      <c r="AL8" s="13">
        <f>($AM$2/(1+$AM$4*AK8/360))</f>
        <v>1385981.72</v>
      </c>
      <c r="AM8" s="14">
        <v>42958</v>
      </c>
      <c r="AO8" s="65">
        <f>+AQ5</f>
        <v>38</v>
      </c>
      <c r="AP8" s="13">
        <f>($AQ$2/(1+$AQ$4*AO8/360))</f>
        <v>3649129.28</v>
      </c>
      <c r="AQ8" s="14">
        <v>42961</v>
      </c>
      <c r="AS8" s="65">
        <f>+AU5</f>
        <v>28</v>
      </c>
      <c r="AT8" s="13">
        <f>($AU$2/(1+$AU$4*AS8/360))</f>
        <v>1232799.1000000001</v>
      </c>
      <c r="AU8" s="14">
        <v>42961</v>
      </c>
      <c r="AW8" s="65">
        <f>+AY5</f>
        <v>30</v>
      </c>
      <c r="AX8" s="13">
        <f>($AY$2/(1+$AY$4*AW8/360))</f>
        <v>696596.5</v>
      </c>
      <c r="AY8" s="14">
        <v>42963</v>
      </c>
      <c r="BA8" s="65">
        <f>+BC5</f>
        <v>27</v>
      </c>
      <c r="BB8" s="13">
        <f>($BC$2/(1+$BC$4*BA8/360))</f>
        <v>617353.97</v>
      </c>
      <c r="BC8" s="14">
        <v>42963</v>
      </c>
      <c r="BE8" s="65">
        <f>+BG5</f>
        <v>34</v>
      </c>
      <c r="BF8" s="13">
        <f>($BG$2/(1+$BG$4*BE8/360))</f>
        <v>1391878.42</v>
      </c>
      <c r="BG8" s="14">
        <v>42964</v>
      </c>
      <c r="BI8" s="65">
        <f>+BK5</f>
        <v>23</v>
      </c>
      <c r="BJ8" s="13">
        <f>($BK$2/(1+$BK$4*BI8/360))</f>
        <v>2488205.83</v>
      </c>
      <c r="BK8" s="14">
        <v>42968</v>
      </c>
      <c r="BM8" s="65">
        <f>+BO5</f>
        <v>52</v>
      </c>
      <c r="BN8" s="13">
        <f>($BO$2/(1+$BO$4*BM8/360))</f>
        <v>1862058.23</v>
      </c>
      <c r="BO8" s="14">
        <v>42968</v>
      </c>
      <c r="BQ8" s="65">
        <f>+BS5</f>
        <v>57</v>
      </c>
      <c r="BR8" s="13">
        <f>($BS$2/(1+$BS$4*BQ8/360))</f>
        <v>4285714.29</v>
      </c>
      <c r="BS8" s="14">
        <v>42975</v>
      </c>
      <c r="BU8" s="65">
        <v>26</v>
      </c>
      <c r="BV8" s="13">
        <f>($BW$2/(1+$BW$4*BU8/360))</f>
        <v>1609833.813203804</v>
      </c>
      <c r="BW8" s="14">
        <v>42984</v>
      </c>
      <c r="BY8" s="65">
        <v>26</v>
      </c>
      <c r="BZ8" s="13">
        <f>($CA$2/(1+$CA$4*BY8/360))</f>
        <v>1609833.813203804</v>
      </c>
      <c r="CA8" s="14">
        <v>42984</v>
      </c>
      <c r="CC8" s="65">
        <f>+CE5</f>
        <v>34</v>
      </c>
      <c r="CD8" s="13">
        <f>($CE$2/(1+$CE$4*CC8/360))</f>
        <v>1621972.14</v>
      </c>
      <c r="CE8" s="14">
        <v>42985</v>
      </c>
      <c r="CG8" s="65">
        <f>+CI5</f>
        <v>42</v>
      </c>
      <c r="CH8" s="13">
        <f>($CI$2/(1+$CI$4*CG8/360))</f>
        <v>972614.1</v>
      </c>
      <c r="CI8" s="14">
        <v>42985</v>
      </c>
      <c r="CK8" s="65">
        <f>+CM5</f>
        <v>66</v>
      </c>
      <c r="CL8" s="13">
        <f>($CM$2/(1+$CM$4*CK8/360))</f>
        <v>799986.59</v>
      </c>
      <c r="CM8" s="14">
        <v>42989</v>
      </c>
      <c r="CO8" s="65">
        <f>+CQ5</f>
        <v>23</v>
      </c>
      <c r="CP8" s="13">
        <f>($CQ$2/(1+$CQ$4*CO8/360))</f>
        <v>1833967.41</v>
      </c>
      <c r="CQ8" s="14">
        <v>42991</v>
      </c>
      <c r="CS8" s="65">
        <f>+CU5</f>
        <v>19</v>
      </c>
      <c r="CT8" s="13">
        <f>($CU$2/(1+$CU$4*CS8/360))</f>
        <v>1595221.41</v>
      </c>
      <c r="CU8" s="14">
        <v>42991</v>
      </c>
      <c r="CW8" s="65">
        <f>+CY5</f>
        <v>48</v>
      </c>
      <c r="CX8" s="13">
        <f>($CY$2/(1+$CY$4*CW8/360))</f>
        <v>2545116.29</v>
      </c>
      <c r="CY8" s="14">
        <v>42993</v>
      </c>
      <c r="DA8" s="65">
        <f>+DC5</f>
        <v>28</v>
      </c>
      <c r="DB8" s="13">
        <f>($DC$2/(1+$DC$4*DA8/360))</f>
        <v>2809998.44</v>
      </c>
      <c r="DC8" s="14">
        <v>42998</v>
      </c>
      <c r="DE8" s="65">
        <f>+DG5</f>
        <v>47</v>
      </c>
      <c r="DF8" s="13">
        <f>($DG$2/(1+$DG$4*DE8/360))</f>
        <v>3196181.57</v>
      </c>
      <c r="DG8" s="14">
        <v>42999</v>
      </c>
      <c r="DI8" s="65">
        <f>+DK5</f>
        <v>7</v>
      </c>
      <c r="DJ8" s="13">
        <f>($DK$2/(1+$DK$4*DI8/360))</f>
        <v>640711.68999999994</v>
      </c>
      <c r="DK8" s="14">
        <v>42999</v>
      </c>
      <c r="DM8" s="65">
        <f>+DO5</f>
        <v>20</v>
      </c>
      <c r="DN8" s="13">
        <f>($DO$2/(1+$DO$4*DM8/360))</f>
        <v>784518.76</v>
      </c>
      <c r="DO8" s="14">
        <v>43006</v>
      </c>
      <c r="DQ8" s="65">
        <f>+DS5</f>
        <v>7</v>
      </c>
      <c r="DR8" s="13">
        <f>($DK$2/(1+$DK$4*DQ8/360))</f>
        <v>640711.68999999994</v>
      </c>
      <c r="DS8" s="14">
        <v>42999</v>
      </c>
      <c r="DU8" s="65">
        <f>+DW5</f>
        <v>92</v>
      </c>
      <c r="DV8" s="13">
        <f>($DW$2/(1+$DW$4*DU8/360))</f>
        <v>2328043.4700000002</v>
      </c>
      <c r="DW8" s="14">
        <v>43010</v>
      </c>
      <c r="DY8" s="65">
        <f>+EA5</f>
        <v>103</v>
      </c>
      <c r="DZ8" s="13">
        <f>($EA$2/(1+$EA$4*DY8/360))</f>
        <v>791200.32</v>
      </c>
      <c r="EA8" s="14">
        <v>43013</v>
      </c>
      <c r="EC8" s="65">
        <f>+EE5</f>
        <v>28</v>
      </c>
      <c r="ED8" s="13">
        <f>($EE$2/(1+$EE$4*EC8/360))</f>
        <v>1260355.28</v>
      </c>
      <c r="EE8" s="14">
        <v>43014</v>
      </c>
      <c r="EG8" s="65">
        <f>+EI5</f>
        <v>36</v>
      </c>
      <c r="EH8" s="13">
        <f>($EI$2/(1+$EI$4*EG8/360))</f>
        <v>1590696.89</v>
      </c>
      <c r="EI8" s="14">
        <v>43019</v>
      </c>
      <c r="EK8" s="65">
        <f>+EM5</f>
        <v>17</v>
      </c>
      <c r="EL8" s="13">
        <f>($EM$2/(1+$EM$4*EK8/360))</f>
        <v>968208.03</v>
      </c>
      <c r="EM8" s="14">
        <v>43024</v>
      </c>
      <c r="EO8" s="65">
        <f>+EQ5</f>
        <v>77</v>
      </c>
      <c r="EP8" s="13">
        <f>($EQ$2/(1+$EQ$4*EO8/360))</f>
        <v>1277924.55</v>
      </c>
      <c r="EQ8" s="14">
        <v>43025</v>
      </c>
      <c r="ES8" s="65">
        <f>+EU5</f>
        <v>34</v>
      </c>
      <c r="ET8" s="13">
        <f>($EU$2/(1+$EU$4*ES8/360))</f>
        <v>1601325.28</v>
      </c>
      <c r="EU8" s="14">
        <v>43025</v>
      </c>
      <c r="EW8" s="65">
        <f>+EY5</f>
        <v>13</v>
      </c>
      <c r="EX8" s="13">
        <f>($EY$2/(1+$EY$4*EW8/360))</f>
        <v>2390376.42</v>
      </c>
      <c r="EY8" s="14">
        <v>43026</v>
      </c>
      <c r="FA8" s="65">
        <f>+FC5</f>
        <v>76</v>
      </c>
      <c r="FB8" s="13">
        <f>($FC$2/(1+$FC$4*FA8/360))</f>
        <v>1257495.1299999999</v>
      </c>
      <c r="FC8" s="14">
        <v>43032</v>
      </c>
      <c r="FE8" s="65">
        <f>+FG5</f>
        <v>71</v>
      </c>
      <c r="FF8" s="13">
        <f>($FG$2/(1+$FG$4*FE8/360))</f>
        <v>3148165.51</v>
      </c>
      <c r="FG8" s="14">
        <v>43032</v>
      </c>
      <c r="FI8" s="65">
        <f>+FK5</f>
        <v>68</v>
      </c>
      <c r="FJ8" s="13">
        <f>($FK$2/(1+$FK$4*FI8/360))</f>
        <v>1738355.96</v>
      </c>
      <c r="FK8" s="14">
        <v>43034</v>
      </c>
      <c r="FM8" s="65">
        <f>+FO5</f>
        <v>34</v>
      </c>
      <c r="FN8" s="13">
        <f>($FO$2/(1+$FO$4*FM8/360))</f>
        <v>1139546.72</v>
      </c>
      <c r="FO8" s="14">
        <v>43039</v>
      </c>
      <c r="FQ8" s="65">
        <f>+FS5</f>
        <v>30</v>
      </c>
      <c r="FR8" s="13">
        <f>($FS$2/(1+$FS$4*FQ8/360))</f>
        <v>1408665.64</v>
      </c>
      <c r="FS8" s="14">
        <v>43039</v>
      </c>
      <c r="FU8" s="65">
        <f>+FW5</f>
        <v>43</v>
      </c>
      <c r="FV8" s="13">
        <f>($FW$2/(1+$FW$4*FU8/360))</f>
        <v>1902229.48</v>
      </c>
      <c r="FW8" s="14">
        <v>43041</v>
      </c>
      <c r="FY8" s="65">
        <f>+GA5</f>
        <v>29</v>
      </c>
      <c r="FZ8" s="13">
        <f>($GA$2/(1+$GA$4*FY8/360))</f>
        <v>3941445.94</v>
      </c>
      <c r="GA8" s="14">
        <v>43041</v>
      </c>
      <c r="GC8" s="65">
        <f>+GE5</f>
        <v>33</v>
      </c>
      <c r="GD8" s="13">
        <f>($GE$2/(1+$GE$4*GC8/360))</f>
        <v>866875.87</v>
      </c>
      <c r="GE8" s="14">
        <v>43042</v>
      </c>
      <c r="GG8" s="65">
        <f>+GI5</f>
        <v>29</v>
      </c>
      <c r="GH8" s="13">
        <f>($GI$2/(1+$GI$4*GG8/360))</f>
        <v>2837841.08</v>
      </c>
      <c r="GI8" s="14">
        <v>43046</v>
      </c>
      <c r="GK8" s="65">
        <f>+GM5</f>
        <v>20</v>
      </c>
      <c r="GL8" s="13">
        <f>($GM$2/(1+$GM$4*GK8/360))</f>
        <v>945732.11</v>
      </c>
      <c r="GM8" s="14">
        <v>43063</v>
      </c>
      <c r="GO8" s="65">
        <f>+GQ5</f>
        <v>30</v>
      </c>
      <c r="GP8" s="13">
        <f>($GQ$2/(1+$GQ$4*GO8/360))</f>
        <v>1255962.58</v>
      </c>
      <c r="GQ8" s="14">
        <v>43066</v>
      </c>
      <c r="GS8" s="65">
        <f>+GU5</f>
        <v>35</v>
      </c>
      <c r="GT8" s="13">
        <f>($GU$2/(1+$GU$4*GS8/360))</f>
        <v>1546238.52</v>
      </c>
      <c r="GU8" s="14">
        <v>43069</v>
      </c>
      <c r="GW8" s="65">
        <f>+GY5</f>
        <v>35</v>
      </c>
      <c r="GX8" s="13">
        <f>($GY$2/(1+$GY$4*GW8/360))</f>
        <v>921208.15</v>
      </c>
      <c r="GY8" s="14">
        <v>43070</v>
      </c>
      <c r="HA8" s="65">
        <f>+HC5</f>
        <v>35</v>
      </c>
      <c r="HB8" s="13">
        <f>($HC$2/(1+$HC$4*HA8/360))</f>
        <v>1535525.55</v>
      </c>
      <c r="HC8" s="14">
        <v>43070</v>
      </c>
      <c r="HE8" s="65">
        <f>+HG5</f>
        <v>30</v>
      </c>
      <c r="HF8" s="13">
        <f>($HG$2/(1+$HG$4*HE8/360))</f>
        <v>1100325.96</v>
      </c>
      <c r="HG8" s="14">
        <v>43074</v>
      </c>
      <c r="HI8" s="65">
        <f>+HK5</f>
        <v>9</v>
      </c>
      <c r="HJ8" s="13">
        <f>($HK$2/(1+$HK$4*HI8/360))</f>
        <v>763088.3</v>
      </c>
      <c r="HK8" s="14">
        <v>43075</v>
      </c>
      <c r="HM8" s="65">
        <f>+HO5</f>
        <v>8</v>
      </c>
      <c r="HN8" s="13">
        <f>($HO$2/(1+$HO$4*HM8/360))</f>
        <v>1373696.22</v>
      </c>
      <c r="HO8" s="14">
        <v>43075</v>
      </c>
      <c r="HQ8" s="65">
        <f>+HS5</f>
        <v>32</v>
      </c>
      <c r="HR8" s="13">
        <f>($HS$2/(1+$HS$4*HQ8/360))</f>
        <v>3040345.06</v>
      </c>
      <c r="HS8" s="14">
        <v>43076</v>
      </c>
      <c r="HU8" s="65">
        <f>+HW5</f>
        <v>8</v>
      </c>
      <c r="HV8" s="13">
        <f>($HW$2/(1+$HW$4*HU8/360))</f>
        <v>1523577.67</v>
      </c>
      <c r="HW8" s="14">
        <v>43080</v>
      </c>
      <c r="HY8" s="65">
        <f>+IA5</f>
        <v>9</v>
      </c>
      <c r="HZ8" s="13">
        <f>($IA$2/(1+$IA$4*HY8/360))</f>
        <v>1523476.16</v>
      </c>
      <c r="IA8" s="14">
        <v>43080</v>
      </c>
      <c r="IC8" s="65">
        <f>+IE5</f>
        <v>10</v>
      </c>
      <c r="ID8" s="13">
        <f>($IE$2/(1+$IE$4*IC8/360))</f>
        <v>1218659.1299999999</v>
      </c>
      <c r="IE8" s="14">
        <v>43081</v>
      </c>
      <c r="IG8" s="65">
        <f>+II5</f>
        <v>33</v>
      </c>
      <c r="IH8" s="13">
        <f>($II$2/(1+$II$4*IG8/360))</f>
        <v>1282646.3600000001</v>
      </c>
      <c r="II8" s="14">
        <v>43091</v>
      </c>
      <c r="IK8" s="65">
        <f>+IM5</f>
        <v>41</v>
      </c>
      <c r="IL8" s="13">
        <f>($IM$2/(1+$IM$4*IK8/360))</f>
        <v>2578095.31</v>
      </c>
      <c r="IM8" s="14">
        <v>43095</v>
      </c>
      <c r="IO8" s="65">
        <f>+IQ5</f>
        <v>33</v>
      </c>
      <c r="IP8" s="13">
        <f>($IQ$2/(1+$IQ$4*IO8/360))</f>
        <v>1133247.21</v>
      </c>
      <c r="IQ8" s="14">
        <v>43096</v>
      </c>
      <c r="IS8" s="65">
        <f>+IU5</f>
        <v>30</v>
      </c>
      <c r="IT8" s="13">
        <f>($IU$2/(1+$IU$4*IS8/360))</f>
        <v>1487711.27</v>
      </c>
      <c r="IU8" s="14">
        <v>43102</v>
      </c>
      <c r="IW8" s="65">
        <f>+IY5</f>
        <v>34</v>
      </c>
      <c r="IX8" s="13">
        <f>($IY$2/(1+$IY$4*IW8/360))</f>
        <v>1643163.28</v>
      </c>
      <c r="IY8" s="14">
        <v>43102</v>
      </c>
      <c r="JA8" s="65">
        <f>+JC5</f>
        <v>58</v>
      </c>
      <c r="JB8" s="13">
        <f>($JC$2/(1+$JC$4*JA8/360))</f>
        <v>985715.86</v>
      </c>
      <c r="JC8" s="14">
        <v>43108</v>
      </c>
      <c r="JE8" s="65">
        <f>+JG5</f>
        <v>41</v>
      </c>
      <c r="JF8" s="13">
        <f>($JG$2/(1+$JG$4*JE8/360))</f>
        <v>1480494.83</v>
      </c>
      <c r="JG8" s="14">
        <v>43119</v>
      </c>
      <c r="JI8" s="65">
        <f>+JK5</f>
        <v>20</v>
      </c>
      <c r="JJ8" s="13">
        <f>($JK$2/(1+$JK$4*JI8/360))</f>
        <v>992744.47</v>
      </c>
      <c r="JK8" s="14">
        <v>43124</v>
      </c>
      <c r="JM8" s="65">
        <f>+JO5</f>
        <v>29</v>
      </c>
      <c r="JN8" s="13">
        <f>($JO$2/(1+$JO$4*JM8/360))</f>
        <v>992090.65</v>
      </c>
      <c r="JO8" s="14">
        <v>43124</v>
      </c>
      <c r="JQ8" s="65">
        <f>+JS5</f>
        <v>35</v>
      </c>
      <c r="JR8" s="13">
        <f>($JS$2/(1+$JS$4*JQ8/360))</f>
        <v>1498483.24</v>
      </c>
      <c r="JS8" s="14">
        <v>43125</v>
      </c>
      <c r="JU8" s="65">
        <f>+JW5</f>
        <v>63</v>
      </c>
      <c r="JV8" s="13">
        <f>($JW$2/(1+$JW$4*JU8/360))</f>
        <v>1649035.98</v>
      </c>
      <c r="JW8" s="14">
        <v>43130</v>
      </c>
      <c r="JY8" s="65">
        <f>+KA5</f>
        <v>41</v>
      </c>
      <c r="JZ8" s="13">
        <f>($JG$2/(1+$JG$4*JY8/360))</f>
        <v>1480494.83</v>
      </c>
      <c r="KA8" s="14">
        <v>43119</v>
      </c>
      <c r="KC8" s="65">
        <f>+KE5</f>
        <v>20</v>
      </c>
      <c r="KD8" s="13">
        <f>($JK$2/(1+$JK$4*KC8/360))</f>
        <v>992744.47</v>
      </c>
      <c r="KE8" s="14">
        <v>43124</v>
      </c>
      <c r="KG8" s="65">
        <f>+KI5</f>
        <v>29</v>
      </c>
      <c r="KH8" s="13">
        <f>($JO$2/(1+$JO$4*KG8/360))</f>
        <v>992090.65</v>
      </c>
      <c r="KI8" s="14">
        <v>43124</v>
      </c>
      <c r="KK8" s="65">
        <f>+KM5</f>
        <v>35</v>
      </c>
      <c r="KL8" s="13">
        <f>($JS$2/(1+$JS$4*KK8/360))</f>
        <v>1498483.24</v>
      </c>
      <c r="KM8" s="14">
        <v>43125</v>
      </c>
      <c r="KO8" s="65">
        <f>+KQ5</f>
        <v>24</v>
      </c>
      <c r="KP8" s="13">
        <f>($KQ$2/(1+$KQ$4*KO8/360))</f>
        <v>3311186.79</v>
      </c>
      <c r="KQ8" s="14">
        <v>43168</v>
      </c>
      <c r="KS8" s="65">
        <f>+KU5</f>
        <v>51</v>
      </c>
      <c r="KT8" s="13">
        <f>($KU$2/(1+$KU$4*KS8/360))</f>
        <v>3301653.47</v>
      </c>
      <c r="KU8" s="14">
        <v>43171</v>
      </c>
      <c r="KW8" s="65">
        <f>+KY5</f>
        <v>42</v>
      </c>
      <c r="KX8" s="13">
        <f>($KY$2/(1+$KY$4*KW8/360))</f>
        <v>2983746.49</v>
      </c>
      <c r="KY8" s="14">
        <v>43173</v>
      </c>
      <c r="LA8" s="65">
        <f>+LC5</f>
        <v>79</v>
      </c>
      <c r="LB8" s="13">
        <f>($LC$2/(1+$LC$4*LA8/360))</f>
        <v>2626536.21</v>
      </c>
      <c r="LC8" s="14">
        <v>43185</v>
      </c>
      <c r="LE8" s="65">
        <f>+LG5</f>
        <v>20</v>
      </c>
      <c r="LF8" s="13">
        <f>($LG$2/(1+$LG$4*LE8/360))</f>
        <v>993567.64</v>
      </c>
      <c r="LG8" s="14">
        <v>43188</v>
      </c>
      <c r="LI8" s="65">
        <f>+LK5</f>
        <v>39</v>
      </c>
      <c r="LJ8" s="13">
        <f>($LK$2/(1+$LK$4*LI8/360))</f>
        <v>2480468.0499999998</v>
      </c>
      <c r="LK8" s="14">
        <v>43192</v>
      </c>
      <c r="LM8" s="65">
        <f>+LO5</f>
        <v>67</v>
      </c>
      <c r="LN8" s="13">
        <f>($LO$2/(1+$LO$4*LM8/360))</f>
        <v>742619.92</v>
      </c>
      <c r="LO8" s="14">
        <v>43195</v>
      </c>
      <c r="LQ8" s="65">
        <f>+LS5</f>
        <v>36</v>
      </c>
      <c r="LR8" s="13">
        <f>($LS$2/(1+$LS$4*LQ8/360))</f>
        <v>2772060.43</v>
      </c>
      <c r="LS8" s="14">
        <v>43208</v>
      </c>
      <c r="LU8" s="65">
        <v>14</v>
      </c>
      <c r="LV8" s="13">
        <f>($LW$2/(1+$LW$4*LU8/360))</f>
        <v>831962.82</v>
      </c>
      <c r="LW8" s="14">
        <v>43213</v>
      </c>
      <c r="LY8" s="65">
        <v>39</v>
      </c>
      <c r="LZ8" s="13">
        <f>($MA$2/(1+$MA$4*LY8/360))</f>
        <v>974411.88</v>
      </c>
      <c r="MA8" s="14">
        <v>43220</v>
      </c>
      <c r="MC8" s="65">
        <f>+ME5</f>
        <v>34</v>
      </c>
      <c r="MD8" s="13">
        <f>($ME$2/(1+$ME$4*MC8/360))</f>
        <v>2861252.18</v>
      </c>
      <c r="ME8" s="14">
        <v>43222</v>
      </c>
      <c r="MG8" s="65">
        <f>+MI5</f>
        <v>29</v>
      </c>
      <c r="MH8" s="13">
        <f>($MI$2/(1+$MI$4*MG8/360))</f>
        <v>1770599.23</v>
      </c>
      <c r="MI8" s="14">
        <v>43223</v>
      </c>
      <c r="MK8" s="65">
        <f>+MM5</f>
        <v>23</v>
      </c>
      <c r="ML8" s="13">
        <f>($MM$2/(1+$MM$4*MK8/360))</f>
        <v>1581106.91</v>
      </c>
      <c r="MM8" s="14">
        <v>43229</v>
      </c>
      <c r="MO8" s="65">
        <v>20</v>
      </c>
      <c r="MP8" s="13">
        <f>($MQ$2/(1+$MQ$4*MO8/360))</f>
        <v>1454274.7</v>
      </c>
      <c r="MQ8" s="14">
        <v>43231</v>
      </c>
      <c r="MS8" s="65">
        <f>+MU5</f>
        <v>21</v>
      </c>
      <c r="MT8" s="13">
        <f>($MU$2/(1+$MU$4*MS8/360))</f>
        <v>1440190.61</v>
      </c>
      <c r="MU8" s="14">
        <v>43234</v>
      </c>
    </row>
    <row r="9" spans="1:359" x14ac:dyDescent="0.25">
      <c r="A9" s="15">
        <f t="shared" ref="A9:A72" si="1">+O9</f>
        <v>731313.19851312891</v>
      </c>
      <c r="B9" s="20">
        <v>42703</v>
      </c>
      <c r="D9" s="12">
        <v>167</v>
      </c>
      <c r="E9" s="13">
        <v>1139622.0019414776</v>
      </c>
      <c r="F9" s="14">
        <v>42433</v>
      </c>
      <c r="I9" s="12">
        <v>32</v>
      </c>
      <c r="J9" s="17">
        <v>1191634.3929041827</v>
      </c>
      <c r="K9" s="14">
        <v>42475</v>
      </c>
      <c r="L9" s="26"/>
      <c r="N9" s="12">
        <f>+N8-1</f>
        <v>97</v>
      </c>
      <c r="O9" s="13">
        <f t="shared" ref="O9:O72" si="2">($Q$2/(1+$Q$4*N9/360))</f>
        <v>731313.19851312891</v>
      </c>
      <c r="P9" s="14">
        <v>42703</v>
      </c>
      <c r="Q9" s="26"/>
      <c r="T9" s="15">
        <f t="shared" ref="T9:T41" si="3">+AH9</f>
        <v>1533764.2719892662</v>
      </c>
      <c r="U9" s="20">
        <v>42952</v>
      </c>
      <c r="W9" s="12">
        <v>167</v>
      </c>
      <c r="X9" s="13">
        <v>1139622.0019414776</v>
      </c>
      <c r="Y9" s="14">
        <v>42433</v>
      </c>
      <c r="AB9" s="12">
        <v>32</v>
      </c>
      <c r="AC9" s="17">
        <v>1191634.3929041827</v>
      </c>
      <c r="AD9" s="14">
        <v>42475</v>
      </c>
      <c r="AE9" s="26"/>
      <c r="AG9" s="12">
        <f>+AG8-1</f>
        <v>32</v>
      </c>
      <c r="AH9" s="13">
        <f t="shared" si="0"/>
        <v>1533764.2719892662</v>
      </c>
      <c r="AI9" s="14">
        <v>42952</v>
      </c>
      <c r="AK9" s="12">
        <f>+AK8-1</f>
        <v>39</v>
      </c>
      <c r="AL9" s="13">
        <f t="shared" ref="AL9:AL47" si="4">($AM$2/(1+$AM$4*AK9/360))</f>
        <v>1386051.049119076</v>
      </c>
      <c r="AM9" s="14">
        <v>42959</v>
      </c>
      <c r="AO9" s="12">
        <f>+AO8-1</f>
        <v>37</v>
      </c>
      <c r="AP9" s="13">
        <f t="shared" ref="AP9:AP45" si="5">($AQ$2/(1+$AQ$4*AO9/360))</f>
        <v>3649328.054129323</v>
      </c>
      <c r="AQ9" s="14">
        <v>42962</v>
      </c>
      <c r="AS9" s="12">
        <f>+AS8-1</f>
        <v>27</v>
      </c>
      <c r="AT9" s="13">
        <f t="shared" ref="AT9:AT35" si="6">($AU$2/(1+$AU$4*AS9/360))</f>
        <v>1232873.0409470145</v>
      </c>
      <c r="AU9" s="14">
        <v>42962</v>
      </c>
      <c r="AW9" s="65">
        <f>+AW8-1</f>
        <v>29</v>
      </c>
      <c r="AX9" s="13">
        <f t="shared" ref="AX9:AX37" si="7">($AY$2/(1+$AY$4*AW9/360))</f>
        <v>696633.45533826295</v>
      </c>
      <c r="AY9" s="14">
        <v>42964</v>
      </c>
      <c r="BA9" s="65">
        <f>+BA8-1</f>
        <v>26</v>
      </c>
      <c r="BB9" s="13">
        <f t="shared" ref="BB9:BB34" si="8">($BC$2/(1+$BC$4*BA9/360))</f>
        <v>617390.90277572477</v>
      </c>
      <c r="BC9" s="14">
        <v>42964</v>
      </c>
      <c r="BE9" s="65">
        <f>+BE8-1</f>
        <v>33</v>
      </c>
      <c r="BF9" s="13">
        <f t="shared" ref="BF9:BF41" si="9">($BG$2/(1+$BG$4*BE9/360))</f>
        <v>1391958.0828260286</v>
      </c>
      <c r="BG9" s="14">
        <v>42965</v>
      </c>
      <c r="BI9" s="65">
        <f>+BI8-1</f>
        <v>22</v>
      </c>
      <c r="BJ9" s="13">
        <f t="shared" ref="BJ9:BJ30" si="10">($BK$2/(1+$BK$4*BI9/360))</f>
        <v>2488337.6718567647</v>
      </c>
      <c r="BK9" s="14">
        <v>42969</v>
      </c>
      <c r="BM9" s="65">
        <f>+BM8-1</f>
        <v>51</v>
      </c>
      <c r="BN9" s="13">
        <f t="shared" ref="BN9:BN59" si="11">($BO$2/(1+$BO$4*BM9/360))</f>
        <v>1862157.0388435726</v>
      </c>
      <c r="BO9" s="14">
        <v>42969</v>
      </c>
      <c r="BQ9" s="65">
        <f>+BQ8-1</f>
        <v>56</v>
      </c>
      <c r="BR9" s="13">
        <f t="shared" ref="BR9:BR64" si="12">($BS$2/(1+$BS$4*BQ9/360))</f>
        <v>4286013.026387834</v>
      </c>
      <c r="BS9" s="14">
        <v>42976</v>
      </c>
      <c r="BU9" s="65">
        <f>+BU8-1</f>
        <v>25</v>
      </c>
      <c r="BV9" s="13">
        <f t="shared" ref="BV9:BV33" si="13">($BW$2/(1+$BW$4*BU9/360))</f>
        <v>1609907.78915212</v>
      </c>
      <c r="BW9" s="14">
        <v>42985</v>
      </c>
      <c r="BY9" s="65">
        <f>+BY8-1</f>
        <v>25</v>
      </c>
      <c r="BZ9" s="13">
        <f t="shared" ref="BZ9:BZ33" si="14">($CA$2/(1+$CA$4*BY9/360))</f>
        <v>1609907.78915212</v>
      </c>
      <c r="CA9" s="14">
        <v>42985</v>
      </c>
      <c r="CC9" s="65">
        <f>+CC8-1</f>
        <v>33</v>
      </c>
      <c r="CD9" s="13">
        <f t="shared" ref="CD9:CD41" si="15">($CE$2/(1+$CE$4*CC9/360))</f>
        <v>1622042.8185591432</v>
      </c>
      <c r="CE9" s="14">
        <v>42986</v>
      </c>
      <c r="CG9" s="65">
        <f>+CG8-1</f>
        <v>41</v>
      </c>
      <c r="CH9" s="13">
        <f t="shared" ref="CH9:CH49" si="16">($CI$2/(1+$CI$4*CG9/360))</f>
        <v>972657.05381037667</v>
      </c>
      <c r="CI9" s="14">
        <v>42986</v>
      </c>
      <c r="CK9" s="65">
        <f>+CK8-1</f>
        <v>65</v>
      </c>
      <c r="CL9" s="13">
        <f t="shared" ref="CL9:CL72" si="17">($CM$2/(1+$CM$4*CK9/360))</f>
        <v>800024.2240605572</v>
      </c>
      <c r="CM9" s="14">
        <v>42990</v>
      </c>
      <c r="CO9" s="65">
        <f>+CO8-1</f>
        <v>22</v>
      </c>
      <c r="CP9" s="13">
        <f t="shared" ref="CP9:CP30" si="18">($CQ$2/(1+$CQ$4*CO9/360))</f>
        <v>1834039.367895765</v>
      </c>
      <c r="CQ9" s="14">
        <v>42992</v>
      </c>
      <c r="CS9" s="65">
        <f>+CS8-1</f>
        <v>18</v>
      </c>
      <c r="CT9" s="13">
        <f t="shared" ref="CT9:CT26" si="19">($CU$2/(1+$CU$4*CS9/360))</f>
        <v>1595281.9804740069</v>
      </c>
      <c r="CU9" s="14">
        <v>42992</v>
      </c>
      <c r="CW9" s="65">
        <f>+CW8-1</f>
        <v>47</v>
      </c>
      <c r="CX9" s="13">
        <f t="shared" ref="CX9:CX55" si="20">($CY$2/(1+$CY$4*CW9/360))</f>
        <v>2545229.735000195</v>
      </c>
      <c r="CY9" s="14">
        <v>42994</v>
      </c>
      <c r="DA9" s="65">
        <f>+DA8-1</f>
        <v>27</v>
      </c>
      <c r="DB9" s="13">
        <f t="shared" ref="DB9:DB35" si="21">($DC$2/(1+$DC$4*DA9/360))</f>
        <v>2810125.1290949592</v>
      </c>
      <c r="DC9" s="14">
        <v>42999</v>
      </c>
      <c r="DE9" s="65">
        <f>+DE8-1</f>
        <v>46</v>
      </c>
      <c r="DF9" s="13">
        <f t="shared" ref="DF9:DF54" si="22">($DG$2/(1+$DG$4*DE9/360))</f>
        <v>3196338.7974507255</v>
      </c>
      <c r="DG9" s="14">
        <v>43000</v>
      </c>
      <c r="DI9" s="65">
        <f>+DI8-1</f>
        <v>6</v>
      </c>
      <c r="DJ9" s="13">
        <f t="shared" ref="DJ9:DJ14" si="23">($DK$2/(1+$DK$4*DI9/360))</f>
        <v>640734.5269806945</v>
      </c>
      <c r="DK9" s="14">
        <v>43000</v>
      </c>
      <c r="DM9" s="65">
        <f>+DM8-1</f>
        <v>19</v>
      </c>
      <c r="DN9" s="13">
        <f t="shared" ref="DN9:DN27" si="24">($DO$2/(1+$DO$4*DM9/360))</f>
        <v>784557.12943613366</v>
      </c>
      <c r="DO9" s="14">
        <v>43007</v>
      </c>
      <c r="DQ9" s="65">
        <f>+DQ8-1</f>
        <v>6</v>
      </c>
      <c r="DR9" s="13">
        <f t="shared" ref="DR9:DR14" si="25">($DK$2/(1+$DK$4*DQ9/360))</f>
        <v>640734.5269806945</v>
      </c>
      <c r="DS9" s="14">
        <v>43000</v>
      </c>
      <c r="DU9" s="65">
        <f>+DU8-1</f>
        <v>91</v>
      </c>
      <c r="DV9" s="13">
        <f t="shared" ref="DV9:DV72" si="26">($DW$2/(1+$DW$4*DU9/360))</f>
        <v>2328158.0713945036</v>
      </c>
      <c r="DW9" s="14">
        <v>43011</v>
      </c>
      <c r="DY9" s="65">
        <f>+DY8-1</f>
        <v>102</v>
      </c>
      <c r="DZ9" s="13">
        <f t="shared" ref="DZ9:DZ72" si="27">($EA$2/(1+$EA$4*DY9/360))</f>
        <v>791241.66488729778</v>
      </c>
      <c r="EA9" s="14">
        <v>43014</v>
      </c>
      <c r="EC9" s="65">
        <f>+EC8-1</f>
        <v>27</v>
      </c>
      <c r="ED9" s="13">
        <f t="shared" ref="ED9:ED35" si="28">($EE$2/(1+$EE$4*EC9/360))</f>
        <v>1260416.3875593604</v>
      </c>
      <c r="EE9" s="14">
        <v>43015</v>
      </c>
      <c r="EG9" s="65">
        <f>+EG8-1</f>
        <v>35</v>
      </c>
      <c r="EH9" s="13">
        <f t="shared" ref="EH9:EH43" si="29">($EI$2/(1+$EI$4*EG9/360))</f>
        <v>1590782.3124527005</v>
      </c>
      <c r="EI9" s="14">
        <v>43020</v>
      </c>
      <c r="EK9" s="65">
        <f>+EK8-1</f>
        <v>16</v>
      </c>
      <c r="EL9" s="13">
        <f t="shared" ref="EL9:EL24" si="30">($EM$2/(1+$EM$4*EK9/360))</f>
        <v>968255.96367743891</v>
      </c>
      <c r="EM9" s="14">
        <v>43025</v>
      </c>
      <c r="EO9" s="65">
        <f>+EO8-1</f>
        <v>76</v>
      </c>
      <c r="EP9" s="13">
        <f t="shared" ref="EP9:EP72" si="31">($EQ$2/(1+$EQ$4*EO9/360))</f>
        <v>1277999.1847686516</v>
      </c>
      <c r="EQ9" s="14">
        <v>43026</v>
      </c>
      <c r="ES9" s="65">
        <f>+ES8-1</f>
        <v>33</v>
      </c>
      <c r="ET9" s="13">
        <f t="shared" ref="ET9:ET41" si="32">($EU$2/(1+$EU$4*ES9/360))</f>
        <v>1601418.2572952141</v>
      </c>
      <c r="EU9" s="14">
        <v>43026</v>
      </c>
      <c r="EW9" s="65">
        <f>+EW8-1</f>
        <v>12</v>
      </c>
      <c r="EX9" s="13">
        <f t="shared" ref="EX9:EX20" si="33">($EY$2/(1+$EY$4*EW9/360))</f>
        <v>2390472.0158969532</v>
      </c>
      <c r="EY9" s="14">
        <v>43027</v>
      </c>
      <c r="FA9" s="65">
        <f>+FA8-1</f>
        <v>75</v>
      </c>
      <c r="FB9" s="13">
        <f t="shared" ref="FB9:FB72" si="34">($FC$2/(1+$FC$4*FA9/360))</f>
        <v>1257569.9173440125</v>
      </c>
      <c r="FC9" s="14">
        <v>43033</v>
      </c>
      <c r="FE9" s="65">
        <f>+FE8-1</f>
        <v>70</v>
      </c>
      <c r="FF9" s="13">
        <f t="shared" ref="FF9:FF72" si="35">($FG$2/(1+$FG$4*FE9/360))</f>
        <v>3148341.4470338426</v>
      </c>
      <c r="FG9" s="14">
        <v>43033</v>
      </c>
      <c r="FI9" s="65">
        <f>+FI8-1</f>
        <v>67</v>
      </c>
      <c r="FJ9" s="13">
        <f t="shared" ref="FJ9:FJ72" si="36">($FK$2/(1+$FK$4*FI9/360))</f>
        <v>1738461.8855542555</v>
      </c>
      <c r="FK9" s="14">
        <v>43035</v>
      </c>
      <c r="FM9" s="65">
        <f>+FM8-1</f>
        <v>33</v>
      </c>
      <c r="FN9" s="13">
        <f t="shared" ref="FN9:FN41" si="37">($FO$2/(1+$FO$4*FM9/360))</f>
        <v>1139614.3325894577</v>
      </c>
      <c r="FO9" s="14">
        <v>43040</v>
      </c>
      <c r="FQ9" s="65">
        <f>+FQ8-1</f>
        <v>29</v>
      </c>
      <c r="FR9" s="13">
        <f t="shared" ref="FR9:FR37" si="38">($FS$2/(1+$FS$4*FQ9/360))</f>
        <v>1408748.1418816976</v>
      </c>
      <c r="FS9" s="14">
        <v>43040</v>
      </c>
      <c r="FU9" s="65">
        <f>+FU8-1</f>
        <v>42</v>
      </c>
      <c r="FV9" s="13">
        <f t="shared" ref="FV9:FV50" si="39">($FW$2/(1+$FW$4*FU9/360))</f>
        <v>1902342.0298669755</v>
      </c>
      <c r="FW9" s="14">
        <v>43042</v>
      </c>
      <c r="FY9" s="65">
        <f>+FY8-1</f>
        <v>28</v>
      </c>
      <c r="FZ9" s="13">
        <f t="shared" ref="FZ9:FZ36" si="40">($GA$2/(1+$GA$4*FY9/360))</f>
        <v>3941667.7257982418</v>
      </c>
      <c r="GA9" s="14">
        <v>43042</v>
      </c>
      <c r="GC9" s="65">
        <f>+GC8-1</f>
        <v>32</v>
      </c>
      <c r="GD9" s="13">
        <f t="shared" ref="GD9:GD40" si="41">($GE$2/(1+$GE$4*GC9/360))</f>
        <v>866924.40715822182</v>
      </c>
      <c r="GE9" s="14">
        <v>43043</v>
      </c>
      <c r="GG9" s="65">
        <f>+GG8-1</f>
        <v>28</v>
      </c>
      <c r="GH9" s="13">
        <f t="shared" ref="GH9:GH36" si="42">($GI$2/(1+$GI$4*GG9/360))</f>
        <v>2837996.1369076427</v>
      </c>
      <c r="GI9" s="14">
        <v>43047</v>
      </c>
      <c r="GK9" s="65">
        <f>+GK8-1</f>
        <v>19</v>
      </c>
      <c r="GL9" s="13">
        <f t="shared" ref="GL9:GL27" si="43">($GM$2/(1+$GM$4*GK9/360))</f>
        <v>945801.36718971562</v>
      </c>
      <c r="GM9" s="14">
        <v>43064</v>
      </c>
      <c r="GO9" s="65">
        <f>+GO8-1</f>
        <v>29</v>
      </c>
      <c r="GP9" s="13">
        <f t="shared" ref="GP9:GP37" si="44">($GQ$2/(1+$GQ$4*GO9/360))</f>
        <v>1256065.2305684814</v>
      </c>
      <c r="GQ9" s="14">
        <v>43067</v>
      </c>
      <c r="GS9" s="65">
        <f>+GS8-1</f>
        <v>34</v>
      </c>
      <c r="GT9" s="13">
        <f t="shared" ref="GT9:GT42" si="45">($GU$2/(1+$GU$4*GS9/360))</f>
        <v>1546362.9056235573</v>
      </c>
      <c r="GU9" s="14">
        <v>43070</v>
      </c>
      <c r="GW9" s="65">
        <f>+GW8-1</f>
        <v>34</v>
      </c>
      <c r="GX9" s="13">
        <f t="shared" ref="GX9:GX42" si="46">($GY$2/(1+$GY$4*GW9/360))</f>
        <v>921279.22171892913</v>
      </c>
      <c r="GY9" s="14">
        <v>43071</v>
      </c>
      <c r="HA9" s="65">
        <f>+HA8-1</f>
        <v>34</v>
      </c>
      <c r="HB9" s="13">
        <f t="shared" ref="HB9:HB42" si="47">($HC$2/(1+$HC$4*HA9/360))</f>
        <v>1535638.9249407439</v>
      </c>
      <c r="HC9" s="14">
        <v>43071</v>
      </c>
      <c r="HE9" s="65">
        <f>+HE8-1</f>
        <v>29</v>
      </c>
      <c r="HF9" s="13">
        <f t="shared" ref="HF9:HF37" si="48">($HG$2/(1+$HG$4*HE9/360))</f>
        <v>1100409.0099785908</v>
      </c>
      <c r="HG9" s="14">
        <v>43075</v>
      </c>
      <c r="HI9" s="65">
        <f>+HI8-1</f>
        <v>8</v>
      </c>
      <c r="HJ9" s="13">
        <f t="shared" ref="HJ9:HJ16" si="49">($HK$2/(1+$HK$4*HI9/360))</f>
        <v>763144.22699816118</v>
      </c>
      <c r="HK9" s="14">
        <v>43076</v>
      </c>
      <c r="HM9" s="65">
        <f>+HM8-1</f>
        <v>7</v>
      </c>
      <c r="HN9" s="13">
        <f t="shared" ref="HN9:HN15" si="50">($HO$2/(1+$HO$4*HM9/360))</f>
        <v>1373792.3316406957</v>
      </c>
      <c r="HO9" s="14">
        <v>43076</v>
      </c>
      <c r="HQ9" s="65">
        <f>+HQ8-1</f>
        <v>31</v>
      </c>
      <c r="HR9" s="13">
        <f t="shared" ref="HR9:HR39" si="51">($HS$2/(1+$HS$4*HQ9/360))</f>
        <v>3040618.0726402299</v>
      </c>
      <c r="HS9" s="14">
        <v>43077</v>
      </c>
      <c r="HU9" s="65">
        <f>+HU8-1</f>
        <v>7</v>
      </c>
      <c r="HV9" s="13">
        <f t="shared" ref="HV9:HV15" si="52">($HW$2/(1+$HW$4*HU9/360))</f>
        <v>1523687.9005100811</v>
      </c>
      <c r="HW9" s="14">
        <v>43081</v>
      </c>
      <c r="HY9" s="65">
        <f>+HY8-1</f>
        <v>8</v>
      </c>
      <c r="HZ9" s="13">
        <f t="shared" ref="HZ9:HZ16" si="53">($IA$2/(1+$IA$4*HY9/360))</f>
        <v>1523590.5670956355</v>
      </c>
      <c r="IA9" s="14">
        <v>43081</v>
      </c>
      <c r="IC9" s="65">
        <f>+IC8-1</f>
        <v>9</v>
      </c>
      <c r="ID9" s="13">
        <f t="shared" ref="ID9:ID17" si="54">($IE$2/(1+$IE$4*IC9/360))</f>
        <v>1218805.6556978428</v>
      </c>
      <c r="IE9" s="14">
        <v>43082</v>
      </c>
      <c r="IG9" s="65">
        <f>+IG8-1</f>
        <v>32</v>
      </c>
      <c r="IH9" s="13">
        <f t="shared" ref="IH9:IH40" si="55">($II$2/(1+$II$4*IG9/360))</f>
        <v>1282752.9629222075</v>
      </c>
      <c r="II9" s="14">
        <v>43092</v>
      </c>
      <c r="IK9" s="65">
        <f>+IK8-1</f>
        <v>40</v>
      </c>
      <c r="IL9" s="13">
        <f t="shared" ref="IL9:IL48" si="56">($IM$2/(1+$IM$4*IK9/360))</f>
        <v>2578312.4776215008</v>
      </c>
      <c r="IM9" s="14">
        <v>43096</v>
      </c>
      <c r="IO9" s="65">
        <f>+IO8-1</f>
        <v>32</v>
      </c>
      <c r="IP9" s="13">
        <f t="shared" ref="IP9:IP40" si="57">($IQ$2/(1+$IQ$4*IO9/360))</f>
        <v>1133341.3961045546</v>
      </c>
      <c r="IQ9" s="14">
        <v>43097</v>
      </c>
      <c r="IS9" s="65">
        <f>+IS8-1</f>
        <v>29</v>
      </c>
      <c r="IT9" s="13">
        <f t="shared" ref="IT9:IT37" si="58">($IU$2/(1+$IU$4*IS9/360))</f>
        <v>1487804.7614266726</v>
      </c>
      <c r="IU9" s="14">
        <v>43103</v>
      </c>
      <c r="IW9" s="65">
        <f>+IW8-1</f>
        <v>33</v>
      </c>
      <c r="IX9" s="13">
        <f t="shared" ref="IX9:IX41" si="59">($IY$2/(1+$IY$4*IW9/360))</f>
        <v>1643265.111236298</v>
      </c>
      <c r="IY9" s="14">
        <v>43103</v>
      </c>
      <c r="JA9" s="65">
        <f>+JA8-1</f>
        <v>57</v>
      </c>
      <c r="JB9" s="13">
        <f t="shared" ref="JB9:JB65" si="60">($JC$2/(1+$JC$4*JA9/360))</f>
        <v>985768.2049085265</v>
      </c>
      <c r="JC9" s="14">
        <v>43109</v>
      </c>
      <c r="JE9" s="65">
        <f>+JE8-1</f>
        <v>40</v>
      </c>
      <c r="JF9" s="13">
        <f t="shared" ref="JF9:JF48" si="61">($JG$2/(1+$JG$4*JE9/360))</f>
        <v>1480570.5607280459</v>
      </c>
      <c r="JG9" s="14">
        <v>43120</v>
      </c>
      <c r="JI9" s="65">
        <f>+JI8-1</f>
        <v>19</v>
      </c>
      <c r="JJ9" s="13">
        <f t="shared" ref="JJ9:JJ27" si="62">($JK$2/(1+$JK$4*JI9/360))</f>
        <v>992795.81389709876</v>
      </c>
      <c r="JK9" s="14">
        <v>43125</v>
      </c>
      <c r="JM9" s="65">
        <f>+JM8-1</f>
        <v>28</v>
      </c>
      <c r="JN9" s="13">
        <f t="shared" ref="JN9:JN36" si="63">($JO$2/(1+$JO$4*JM9/360))</f>
        <v>992143.45372217544</v>
      </c>
      <c r="JO9" s="14">
        <v>43125</v>
      </c>
      <c r="JQ9" s="65">
        <f>+JQ8-1</f>
        <v>34</v>
      </c>
      <c r="JR9" s="13">
        <f t="shared" ref="JR9:JR42" si="64">($JS$2/(1+$JS$4*JQ9/360))</f>
        <v>1498570.0204578515</v>
      </c>
      <c r="JS9" s="14">
        <v>43126</v>
      </c>
      <c r="JU9" s="65">
        <f>+JU8-1</f>
        <v>62</v>
      </c>
      <c r="JV9" s="13">
        <f t="shared" ref="JV9:JV70" si="65">($JW$2/(1+$JW$4*JU9/360))</f>
        <v>1649138.0646136806</v>
      </c>
      <c r="JW9" s="14">
        <v>43131</v>
      </c>
      <c r="JY9" s="65">
        <f>+JY8-1</f>
        <v>40</v>
      </c>
      <c r="JZ9" s="13">
        <f t="shared" ref="JZ9:JZ48" si="66">($JG$2/(1+$JG$4*JY9/360))</f>
        <v>1480570.5607280459</v>
      </c>
      <c r="KA9" s="14">
        <v>43120</v>
      </c>
      <c r="KC9" s="65">
        <f>+KC8-1</f>
        <v>19</v>
      </c>
      <c r="KD9" s="13">
        <f t="shared" ref="KD9:KD27" si="67">($JK$2/(1+$JK$4*KC9/360))</f>
        <v>992795.81389709876</v>
      </c>
      <c r="KE9" s="14">
        <v>43125</v>
      </c>
      <c r="KG9" s="65">
        <f>+KG8-1</f>
        <v>28</v>
      </c>
      <c r="KH9" s="13">
        <f t="shared" ref="KH9:KH36" si="68">($JO$2/(1+$JO$4*KG9/360))</f>
        <v>992143.45372217544</v>
      </c>
      <c r="KI9" s="14">
        <v>43125</v>
      </c>
      <c r="KK9" s="65">
        <f>+KK8-1</f>
        <v>34</v>
      </c>
      <c r="KL9" s="13">
        <f t="shared" ref="KL9:KL42" si="69">($JS$2/(1+$JS$4*KK9/360))</f>
        <v>1498570.0204578515</v>
      </c>
      <c r="KM9" s="14">
        <v>43126</v>
      </c>
      <c r="KO9" s="65">
        <f>+KO8-1</f>
        <v>23</v>
      </c>
      <c r="KP9" s="13">
        <f t="shared" ref="KP9:KP31" si="70">($KQ$2/(1+$KQ$4*KO9/360))</f>
        <v>3311420.4849835038</v>
      </c>
      <c r="KQ9" s="14">
        <v>43169</v>
      </c>
      <c r="KS9" s="65">
        <f>+KS8-1</f>
        <v>50</v>
      </c>
      <c r="KT9" s="13">
        <f t="shared" ref="KT9:KT58" si="71">($KU$2/(1+$KU$4*KS9/360))</f>
        <v>3301864.7785359477</v>
      </c>
      <c r="KU9" s="14">
        <v>43172</v>
      </c>
      <c r="KW9" s="65">
        <f>+KW8-1</f>
        <v>41</v>
      </c>
      <c r="KX9" s="13">
        <f t="shared" ref="KX9:KX49" si="72">($KY$2/(1+$KY$4*KW9/360))</f>
        <v>2983931.1992022381</v>
      </c>
      <c r="KY9" s="14">
        <v>43174</v>
      </c>
      <c r="LA9" s="65">
        <f>+LA8-1</f>
        <v>78</v>
      </c>
      <c r="LB9" s="13">
        <f t="shared" ref="LB9:LB72" si="73">($LC$2/(1+$LC$4*LA9/360))</f>
        <v>2626736.3807549849</v>
      </c>
      <c r="LC9" s="14">
        <v>43186</v>
      </c>
      <c r="LE9" s="65">
        <f>+LE8-1</f>
        <v>19</v>
      </c>
      <c r="LF9" s="13">
        <f t="shared" ref="LF9:LF27" si="74">($LG$2/(1+$LG$4*LE9/360))</f>
        <v>993656.85587380023</v>
      </c>
      <c r="LG9" s="14">
        <v>43189</v>
      </c>
      <c r="LI9" s="65">
        <f>+LI8-1</f>
        <v>38</v>
      </c>
      <c r="LJ9" s="13">
        <f t="shared" ref="LJ9:LJ46" si="75">($LK$2/(1+$LK$4*LI9/360))</f>
        <v>2480638.9265351547</v>
      </c>
      <c r="LK9" s="14">
        <v>43193</v>
      </c>
      <c r="LM9" s="65">
        <f>+LM8-1</f>
        <v>66</v>
      </c>
      <c r="LN9" s="13">
        <f t="shared" ref="LN9:LN72" si="76">($LO$2/(1+$LO$4*LM9/360))</f>
        <v>742672.83590335108</v>
      </c>
      <c r="LO9" s="14">
        <v>43196</v>
      </c>
      <c r="LQ9" s="65">
        <f>+LQ8-1</f>
        <v>35</v>
      </c>
      <c r="LR9" s="13">
        <f t="shared" ref="LR9:LR44" si="77">($LS$2/(1+$LS$4*LQ9/360))</f>
        <v>2772238.3346970277</v>
      </c>
      <c r="LS9" s="14">
        <v>43209</v>
      </c>
      <c r="LU9" s="65">
        <f>+LU8-1</f>
        <v>13</v>
      </c>
      <c r="LV9" s="13">
        <f t="shared" ref="LV9:LV21" si="78">($LW$2/(1+$LW$4*LU9/360))</f>
        <v>832020.0155104791</v>
      </c>
      <c r="LW9" s="14">
        <v>43214</v>
      </c>
      <c r="LY9" s="65">
        <f>+LY8-1</f>
        <v>38</v>
      </c>
      <c r="LZ9" s="13">
        <f t="shared" ref="LZ9:LZ47" si="79">($MA$2/(1+$MA$4*LY9/360))</f>
        <v>974477.86267443257</v>
      </c>
      <c r="MA9" s="14">
        <v>43221</v>
      </c>
      <c r="MC9" s="65">
        <f>+MC8-1</f>
        <v>33</v>
      </c>
      <c r="MD9" s="13">
        <f t="shared" ref="MD9:MD42" si="80">($ME$2/(1+$ME$4*MC9/360))</f>
        <v>2861434.371864914</v>
      </c>
      <c r="ME9" s="14">
        <v>43223</v>
      </c>
      <c r="MG9" s="65">
        <f>+MG8-1</f>
        <v>28</v>
      </c>
      <c r="MH9" s="13">
        <f t="shared" ref="MH9:MH37" si="81">($MI$2/(1+$MI$4*MG9/360))</f>
        <v>1770718.9978924845</v>
      </c>
      <c r="MI9" s="14">
        <v>43224</v>
      </c>
      <c r="MK9" s="65">
        <f>+MK8-1</f>
        <v>22</v>
      </c>
      <c r="ML9" s="13">
        <f t="shared" ref="ML9:ML31" si="82">($MM$2/(1+$MM$4*MK9/360))</f>
        <v>1581208.9015911827</v>
      </c>
      <c r="MM9" s="14">
        <v>43230</v>
      </c>
      <c r="MO9" s="65">
        <f>+MO8-1</f>
        <v>19</v>
      </c>
      <c r="MP9" s="13">
        <f t="shared" ref="MP9:MP28" si="83">($MQ$2/(1+$MQ$4*MO9/360))</f>
        <v>1454388.1152809607</v>
      </c>
      <c r="MQ9" s="14">
        <v>43232</v>
      </c>
      <c r="MS9" s="65">
        <f>+MS8-1</f>
        <v>20</v>
      </c>
      <c r="MT9" s="13">
        <f t="shared" ref="MT9:MT29" si="84">($MU$2/(1+$MU$4*MS9/360))</f>
        <v>1440291.2824013382</v>
      </c>
      <c r="MU9" s="14">
        <v>43235</v>
      </c>
    </row>
    <row r="10" spans="1:359" x14ac:dyDescent="0.25">
      <c r="A10" s="15">
        <f t="shared" si="1"/>
        <v>731342.43936440523</v>
      </c>
      <c r="B10" s="20">
        <v>42704</v>
      </c>
      <c r="D10" s="22">
        <v>166</v>
      </c>
      <c r="E10" s="13">
        <v>1139649.0967271188</v>
      </c>
      <c r="F10" s="14">
        <v>42434</v>
      </c>
      <c r="G10" s="25"/>
      <c r="I10" s="12">
        <v>31</v>
      </c>
      <c r="J10" s="17">
        <v>1191648.6403328734</v>
      </c>
      <c r="K10" s="14">
        <v>42476</v>
      </c>
      <c r="L10" s="16"/>
      <c r="N10" s="12">
        <f t="shared" ref="N10:N73" si="85">+N9-1</f>
        <v>96</v>
      </c>
      <c r="O10" s="13">
        <f t="shared" si="2"/>
        <v>731342.43936440523</v>
      </c>
      <c r="P10" s="14">
        <v>42704</v>
      </c>
      <c r="Q10" s="16"/>
      <c r="T10" s="15">
        <f t="shared" si="3"/>
        <v>1533842.9820562257</v>
      </c>
      <c r="U10" s="20">
        <v>42953</v>
      </c>
      <c r="W10" s="22">
        <v>166</v>
      </c>
      <c r="X10" s="13">
        <v>1139649.0967271188</v>
      </c>
      <c r="Y10" s="14">
        <v>42434</v>
      </c>
      <c r="Z10" s="25"/>
      <c r="AB10" s="12">
        <v>31</v>
      </c>
      <c r="AC10" s="17">
        <v>1191648.6403328734</v>
      </c>
      <c r="AD10" s="14">
        <v>42476</v>
      </c>
      <c r="AE10" s="16"/>
      <c r="AG10" s="12">
        <f t="shared" ref="AG10:AG41" si="86">+AG9-1</f>
        <v>31</v>
      </c>
      <c r="AH10" s="13">
        <f t="shared" si="0"/>
        <v>1533842.9820562257</v>
      </c>
      <c r="AI10" s="14">
        <v>42953</v>
      </c>
      <c r="AJ10" s="72"/>
      <c r="AK10" s="12">
        <f t="shared" ref="AK10:AK48" si="87">+AK9-1</f>
        <v>38</v>
      </c>
      <c r="AL10" s="13">
        <f t="shared" si="4"/>
        <v>1386120.3851744158</v>
      </c>
      <c r="AM10" s="14">
        <v>42960</v>
      </c>
      <c r="AO10" s="12">
        <f t="shared" ref="AO10:AO46" si="88">+AO9-1</f>
        <v>36</v>
      </c>
      <c r="AP10" s="13">
        <f t="shared" si="5"/>
        <v>3649526.8499149405</v>
      </c>
      <c r="AQ10" s="14">
        <v>42963</v>
      </c>
      <c r="AS10" s="12">
        <f t="shared" ref="AS10:AS36" si="89">+AS9-1</f>
        <v>26</v>
      </c>
      <c r="AT10" s="13">
        <f t="shared" si="6"/>
        <v>1232946.9907642358</v>
      </c>
      <c r="AU10" s="14">
        <v>42963</v>
      </c>
      <c r="AW10" s="65">
        <f t="shared" ref="AW10:AW38" si="90">+AW9-1</f>
        <v>28</v>
      </c>
      <c r="AX10" s="13">
        <f t="shared" si="7"/>
        <v>696670.41459779022</v>
      </c>
      <c r="AY10" s="14">
        <v>42965</v>
      </c>
      <c r="BA10" s="65">
        <f t="shared" ref="BA10:BA35" si="91">+BA9-1</f>
        <v>25</v>
      </c>
      <c r="BB10" s="13">
        <f t="shared" si="8"/>
        <v>617427.83997066959</v>
      </c>
      <c r="BC10" s="14">
        <v>42965</v>
      </c>
      <c r="BE10" s="65">
        <f t="shared" ref="BE10:BE42" si="92">+BE9-1</f>
        <v>32</v>
      </c>
      <c r="BF10" s="13">
        <f t="shared" si="9"/>
        <v>1392037.7547714298</v>
      </c>
      <c r="BG10" s="14">
        <v>42966</v>
      </c>
      <c r="BI10" s="65">
        <f t="shared" ref="BI10:BI31" si="93">+BI9-1</f>
        <v>21</v>
      </c>
      <c r="BJ10" s="13">
        <f t="shared" si="10"/>
        <v>2488469.5276860045</v>
      </c>
      <c r="BK10" s="14">
        <v>42970</v>
      </c>
      <c r="BM10" s="65">
        <f t="shared" ref="BM10:BM60" si="94">+BM9-1</f>
        <v>50</v>
      </c>
      <c r="BN10" s="13">
        <f t="shared" si="11"/>
        <v>1862255.8581741489</v>
      </c>
      <c r="BO10" s="14">
        <v>42970</v>
      </c>
      <c r="BQ10" s="65">
        <f t="shared" ref="BQ10:BQ65" si="95">+BQ9-1</f>
        <v>55</v>
      </c>
      <c r="BR10" s="13">
        <f t="shared" si="12"/>
        <v>4286311.804425505</v>
      </c>
      <c r="BS10" s="14">
        <v>42977</v>
      </c>
      <c r="BU10" s="65">
        <f t="shared" ref="BU10:BU34" si="96">+BU9-1</f>
        <v>24</v>
      </c>
      <c r="BV10" s="13">
        <f t="shared" si="13"/>
        <v>1609981.7718995137</v>
      </c>
      <c r="BW10" s="14">
        <v>42986</v>
      </c>
      <c r="BY10" s="65">
        <f t="shared" ref="BY10:BY34" si="97">+BY9-1</f>
        <v>24</v>
      </c>
      <c r="BZ10" s="13">
        <f t="shared" si="14"/>
        <v>1609981.7718995137</v>
      </c>
      <c r="CA10" s="14">
        <v>42986</v>
      </c>
      <c r="CC10" s="65">
        <f t="shared" ref="CC10:CC34" si="98">+CC9-1</f>
        <v>32</v>
      </c>
      <c r="CD10" s="13">
        <f t="shared" si="15"/>
        <v>1622113.5032782895</v>
      </c>
      <c r="CE10" s="14">
        <v>42987</v>
      </c>
      <c r="CG10" s="65">
        <f t="shared" ref="CG10:CG42" si="99">+CG9-1</f>
        <v>40</v>
      </c>
      <c r="CH10" s="13">
        <f t="shared" si="16"/>
        <v>972700.01141488133</v>
      </c>
      <c r="CI10" s="14">
        <v>42987</v>
      </c>
      <c r="CK10" s="65">
        <f t="shared" ref="CK10:CK73" si="100">+CK9-1</f>
        <v>64</v>
      </c>
      <c r="CL10" s="13">
        <f t="shared" si="17"/>
        <v>800061.86166214687</v>
      </c>
      <c r="CM10" s="14">
        <v>42991</v>
      </c>
      <c r="CO10" s="65">
        <f t="shared" ref="CO10:CO31" si="101">+CO9-1</f>
        <v>21</v>
      </c>
      <c r="CP10" s="13">
        <f t="shared" si="18"/>
        <v>1834111.3314384588</v>
      </c>
      <c r="CQ10" s="14">
        <v>42993</v>
      </c>
      <c r="CS10" s="65">
        <f t="shared" ref="CS10:CS27" si="102">+CS9-1</f>
        <v>17</v>
      </c>
      <c r="CT10" s="13">
        <f t="shared" si="19"/>
        <v>1595342.555547904</v>
      </c>
      <c r="CU10" s="14">
        <v>42993</v>
      </c>
      <c r="CW10" s="65">
        <f t="shared" ref="CW10:CW56" si="103">+CW9-1</f>
        <v>46</v>
      </c>
      <c r="CX10" s="13">
        <f t="shared" si="20"/>
        <v>2545343.1901141452</v>
      </c>
      <c r="CY10" s="14">
        <v>42995</v>
      </c>
      <c r="DA10" s="65">
        <f t="shared" ref="DA10:DA36" si="104">+DA9-1</f>
        <v>26</v>
      </c>
      <c r="DB10" s="13">
        <f t="shared" si="21"/>
        <v>2810251.8296140176</v>
      </c>
      <c r="DC10" s="14">
        <v>43000</v>
      </c>
      <c r="DE10" s="65">
        <f t="shared" ref="DE10:DE55" si="105">+DE9-1</f>
        <v>45</v>
      </c>
      <c r="DF10" s="13">
        <f t="shared" si="22"/>
        <v>3196496.0403709654</v>
      </c>
      <c r="DG10" s="14">
        <v>43001</v>
      </c>
      <c r="DI10" s="65">
        <f t="shared" ref="DI10:DI15" si="106">+DI9-1</f>
        <v>5</v>
      </c>
      <c r="DJ10" s="13">
        <f t="shared" si="23"/>
        <v>640757.365589411</v>
      </c>
      <c r="DK10" s="14">
        <v>43001</v>
      </c>
      <c r="DM10" s="65">
        <f t="shared" ref="DM10:DM28" si="107">+DM9-1</f>
        <v>18</v>
      </c>
      <c r="DN10" s="13">
        <f t="shared" si="24"/>
        <v>784595.50262561429</v>
      </c>
      <c r="DO10" s="14">
        <v>43008</v>
      </c>
      <c r="DQ10" s="65">
        <f t="shared" ref="DQ10:DQ15" si="108">+DQ9-1</f>
        <v>5</v>
      </c>
      <c r="DR10" s="13">
        <f t="shared" si="25"/>
        <v>640757.365589411</v>
      </c>
      <c r="DS10" s="14">
        <v>43001</v>
      </c>
      <c r="DU10" s="65">
        <f t="shared" ref="DU10:DU73" si="109">+DU9-1</f>
        <v>90</v>
      </c>
      <c r="DV10" s="13">
        <f t="shared" si="26"/>
        <v>2328272.6840724098</v>
      </c>
      <c r="DW10" s="14">
        <v>43012</v>
      </c>
      <c r="DY10" s="65">
        <f t="shared" ref="DY10:DY73" si="110">+DY9-1</f>
        <v>101</v>
      </c>
      <c r="DZ10" s="13">
        <f t="shared" si="27"/>
        <v>791283.01409585041</v>
      </c>
      <c r="EA10" s="14">
        <v>43015</v>
      </c>
      <c r="EC10" s="65">
        <f t="shared" ref="EC10:EC36" si="111">+EC9-1</f>
        <v>26</v>
      </c>
      <c r="ED10" s="13">
        <f t="shared" si="28"/>
        <v>1260477.5010445334</v>
      </c>
      <c r="EE10" s="14">
        <v>43016</v>
      </c>
      <c r="EG10" s="65">
        <f t="shared" ref="EG10:EG40" si="112">+EG9-1</f>
        <v>34</v>
      </c>
      <c r="EH10" s="13">
        <f t="shared" si="29"/>
        <v>1590867.744080483</v>
      </c>
      <c r="EI10" s="14">
        <v>43021</v>
      </c>
      <c r="EK10" s="65">
        <f t="shared" ref="EK10:EK25" si="113">+EK9-1</f>
        <v>15</v>
      </c>
      <c r="EL10" s="13">
        <f t="shared" si="30"/>
        <v>968303.90210127761</v>
      </c>
      <c r="EM10" s="14">
        <v>43026</v>
      </c>
      <c r="EO10" s="65">
        <f t="shared" ref="EO10:EO73" si="114">+EO9-1</f>
        <v>75</v>
      </c>
      <c r="EP10" s="13">
        <f t="shared" si="31"/>
        <v>1278073.8282556175</v>
      </c>
      <c r="EQ10" s="14">
        <v>43027</v>
      </c>
      <c r="ES10" s="65">
        <f t="shared" ref="ES10:ES42" si="115">+ES9-1</f>
        <v>32</v>
      </c>
      <c r="ET10" s="13">
        <f t="shared" si="32"/>
        <v>1601511.2453880834</v>
      </c>
      <c r="EU10" s="14">
        <v>43027</v>
      </c>
      <c r="EW10" s="65">
        <f t="shared" ref="EW10:EW21" si="116">+EW9-1</f>
        <v>11</v>
      </c>
      <c r="EX10" s="13">
        <f t="shared" si="33"/>
        <v>2390567.6194403521</v>
      </c>
      <c r="EY10" s="14">
        <v>43028</v>
      </c>
      <c r="FA10" s="65">
        <f t="shared" ref="FA10:FA73" si="117">+FA9-1</f>
        <v>74</v>
      </c>
      <c r="FB10" s="13">
        <f t="shared" si="34"/>
        <v>1257644.7135842494</v>
      </c>
      <c r="FC10" s="14">
        <v>43034</v>
      </c>
      <c r="FE10" s="65">
        <f t="shared" ref="FE10:FE73" si="118">+FE9-1</f>
        <v>69</v>
      </c>
      <c r="FF10" s="13">
        <f t="shared" si="35"/>
        <v>3148517.4037334681</v>
      </c>
      <c r="FG10" s="14">
        <v>43034</v>
      </c>
      <c r="FI10" s="65">
        <f t="shared" ref="FI10:FI73" si="119">+FI9-1</f>
        <v>66</v>
      </c>
      <c r="FJ10" s="13">
        <f t="shared" si="36"/>
        <v>1738567.8240183026</v>
      </c>
      <c r="FK10" s="14">
        <v>43036</v>
      </c>
      <c r="FM10" s="65">
        <f t="shared" ref="FM10:FM42" si="120">+FM9-1</f>
        <v>32</v>
      </c>
      <c r="FN10" s="13">
        <f t="shared" si="37"/>
        <v>1139681.9532026912</v>
      </c>
      <c r="FO10" s="14">
        <v>43041</v>
      </c>
      <c r="FQ10" s="65">
        <f t="shared" ref="FQ10:FQ38" si="121">+FQ9-1</f>
        <v>28</v>
      </c>
      <c r="FR10" s="13">
        <f t="shared" si="38"/>
        <v>1408830.6534278025</v>
      </c>
      <c r="FS10" s="14">
        <v>43041</v>
      </c>
      <c r="FU10" s="65">
        <f t="shared" ref="FU10:FU51" si="122">+FU9-1</f>
        <v>41</v>
      </c>
      <c r="FV10" s="13">
        <f t="shared" si="39"/>
        <v>1902454.5930532925</v>
      </c>
      <c r="FW10" s="14">
        <v>43043</v>
      </c>
      <c r="FY10" s="65">
        <f t="shared" ref="FY10:FY37" si="123">+FY9-1</f>
        <v>27</v>
      </c>
      <c r="FZ10" s="13">
        <f t="shared" si="40"/>
        <v>3941889.5365577335</v>
      </c>
      <c r="GA10" s="14">
        <v>43043</v>
      </c>
      <c r="GC10" s="65">
        <f t="shared" ref="GC10:GC41" si="124">+GC9-1</f>
        <v>31</v>
      </c>
      <c r="GD10" s="13">
        <f t="shared" si="41"/>
        <v>866972.94975202624</v>
      </c>
      <c r="GE10" s="14">
        <v>43044</v>
      </c>
      <c r="GG10" s="65">
        <f t="shared" ref="GG10:GG37" si="125">+GG9-1</f>
        <v>27</v>
      </c>
      <c r="GH10" s="13">
        <f t="shared" si="42"/>
        <v>2838151.2107605306</v>
      </c>
      <c r="GI10" s="14">
        <v>43048</v>
      </c>
      <c r="GK10" s="65">
        <f t="shared" ref="GK10:GK28" si="126">+GK9-1</f>
        <v>18</v>
      </c>
      <c r="GL10" s="13">
        <f t="shared" si="43"/>
        <v>945870.63452376204</v>
      </c>
      <c r="GM10" s="14">
        <v>43065</v>
      </c>
      <c r="GO10" s="65">
        <f t="shared" ref="GO10:GO38" si="127">+GO9-1</f>
        <v>28</v>
      </c>
      <c r="GP10" s="13">
        <f t="shared" si="44"/>
        <v>1256167.8979177179</v>
      </c>
      <c r="GQ10" s="14">
        <v>43068</v>
      </c>
      <c r="GS10" s="65">
        <f t="shared" ref="GS10:GS43" si="128">+GS9-1</f>
        <v>33</v>
      </c>
      <c r="GT10" s="13">
        <f t="shared" si="45"/>
        <v>1546487.3112608809</v>
      </c>
      <c r="GU10" s="14">
        <v>43071</v>
      </c>
      <c r="GW10" s="65">
        <f t="shared" ref="GW10:GW43" si="129">+GW9-1</f>
        <v>33</v>
      </c>
      <c r="GX10" s="13">
        <f t="shared" si="46"/>
        <v>921350.30440514931</v>
      </c>
      <c r="GY10" s="14">
        <v>43072</v>
      </c>
      <c r="HA10" s="65">
        <f t="shared" ref="HA10:HA43" si="130">+HA9-1</f>
        <v>33</v>
      </c>
      <c r="HB10" s="13">
        <f t="shared" si="47"/>
        <v>1535752.3166247148</v>
      </c>
      <c r="HC10" s="14">
        <v>43072</v>
      </c>
      <c r="HE10" s="65">
        <f t="shared" ref="HE10:HE38" si="131">+HE9-1</f>
        <v>28</v>
      </c>
      <c r="HF10" s="13">
        <f t="shared" si="48"/>
        <v>1100492.0724949562</v>
      </c>
      <c r="HG10" s="14">
        <v>43076</v>
      </c>
      <c r="HI10" s="65">
        <f t="shared" ref="HI10:HI17" si="132">+HI9-1</f>
        <v>7</v>
      </c>
      <c r="HJ10" s="13">
        <f t="shared" si="49"/>
        <v>763200.16219474014</v>
      </c>
      <c r="HK10" s="14">
        <v>43077</v>
      </c>
      <c r="HM10" s="65">
        <f t="shared" ref="HM10:HM16" si="133">+HM9-1</f>
        <v>6</v>
      </c>
      <c r="HN10" s="13">
        <f t="shared" si="50"/>
        <v>1373888.4567313725</v>
      </c>
      <c r="HO10" s="14">
        <v>43077</v>
      </c>
      <c r="HQ10" s="65">
        <f t="shared" ref="HQ10:HQ40" si="134">+HQ9-1</f>
        <v>30</v>
      </c>
      <c r="HR10" s="13">
        <f t="shared" si="51"/>
        <v>3040891.1343160756</v>
      </c>
      <c r="HS10" s="14">
        <v>43078</v>
      </c>
      <c r="HU10" s="65">
        <f t="shared" ref="HU10:HU16" si="135">+HU9-1</f>
        <v>6</v>
      </c>
      <c r="HV10" s="13">
        <f t="shared" si="52"/>
        <v>1523798.1469716232</v>
      </c>
      <c r="HW10" s="14">
        <v>43082</v>
      </c>
      <c r="HY10" s="65">
        <f t="shared" ref="HY10:HY16" si="136">+HY9-1</f>
        <v>7</v>
      </c>
      <c r="HZ10" s="13">
        <f t="shared" si="53"/>
        <v>1523704.9913756114</v>
      </c>
      <c r="IA10" s="14">
        <v>43082</v>
      </c>
      <c r="IC10" s="65">
        <f t="shared" ref="IC10:IC17" si="137">+IC9-1</f>
        <v>8</v>
      </c>
      <c r="ID10" s="13">
        <f t="shared" si="54"/>
        <v>1218952.21663501</v>
      </c>
      <c r="IE10" s="14">
        <v>43083</v>
      </c>
      <c r="IG10" s="65">
        <f t="shared" ref="IG10:IG41" si="138">+IG9-1</f>
        <v>31</v>
      </c>
      <c r="IH10" s="13">
        <f t="shared" si="55"/>
        <v>1282859.5835657883</v>
      </c>
      <c r="II10" s="14">
        <v>43093</v>
      </c>
      <c r="IK10" s="65">
        <f t="shared" ref="IK10:IK49" si="139">+IK9-1</f>
        <v>39</v>
      </c>
      <c r="IL10" s="13">
        <f t="shared" si="56"/>
        <v>2578529.6818326102</v>
      </c>
      <c r="IM10" s="14">
        <v>43097</v>
      </c>
      <c r="IO10" s="65">
        <f t="shared" ref="IO10:IO41" si="140">+IO9-1</f>
        <v>31</v>
      </c>
      <c r="IP10" s="13">
        <f t="shared" si="57"/>
        <v>1133435.5978663454</v>
      </c>
      <c r="IQ10" s="14">
        <v>43098</v>
      </c>
      <c r="IS10" s="65">
        <f t="shared" ref="IS10:IS38" si="141">+IS9-1</f>
        <v>28</v>
      </c>
      <c r="IT10" s="13">
        <f t="shared" si="58"/>
        <v>1487898.2646045452</v>
      </c>
      <c r="IU10" s="14">
        <v>43104</v>
      </c>
      <c r="IW10" s="65">
        <f t="shared" ref="IW10:IW42" si="142">+IW9-1</f>
        <v>32</v>
      </c>
      <c r="IX10" s="13">
        <f t="shared" si="59"/>
        <v>1643366.9550948881</v>
      </c>
      <c r="IY10" s="14">
        <v>43104</v>
      </c>
      <c r="JA10" s="65">
        <f t="shared" ref="JA10:JA66" si="143">+JA9-1</f>
        <v>56</v>
      </c>
      <c r="JB10" s="13">
        <f t="shared" si="60"/>
        <v>985820.55537673843</v>
      </c>
      <c r="JC10" s="14">
        <v>43110</v>
      </c>
      <c r="JE10" s="65">
        <f t="shared" ref="JE10:JE49" si="144">+JE9-1</f>
        <v>39</v>
      </c>
      <c r="JF10" s="13">
        <f t="shared" si="61"/>
        <v>1480646.2992040908</v>
      </c>
      <c r="JG10" s="14">
        <v>43121</v>
      </c>
      <c r="JI10" s="65">
        <f t="shared" ref="JI10:JI28" si="145">+JI9-1</f>
        <v>18</v>
      </c>
      <c r="JJ10" s="13">
        <f t="shared" si="62"/>
        <v>992847.16310539737</v>
      </c>
      <c r="JK10" s="14">
        <v>43126</v>
      </c>
      <c r="JM10" s="65">
        <f t="shared" ref="JM10:JM37" si="146">+JM9-1</f>
        <v>27</v>
      </c>
      <c r="JN10" s="13">
        <f t="shared" si="63"/>
        <v>992196.26306557411</v>
      </c>
      <c r="JO10" s="14">
        <v>43126</v>
      </c>
      <c r="JQ10" s="65">
        <f t="shared" ref="JQ10:JQ43" si="147">+JQ9-1</f>
        <v>33</v>
      </c>
      <c r="JR10" s="13">
        <f t="shared" si="64"/>
        <v>1498656.810967579</v>
      </c>
      <c r="JS10" s="14">
        <v>43127</v>
      </c>
      <c r="JU10" s="65">
        <f t="shared" ref="JU10:JU71" si="148">+JU9-1</f>
        <v>61</v>
      </c>
      <c r="JV10" s="13">
        <f t="shared" si="65"/>
        <v>1649240.1618673687</v>
      </c>
      <c r="JW10" s="14">
        <v>43132</v>
      </c>
      <c r="JY10" s="65">
        <f t="shared" ref="JY10:JY49" si="149">+JY9-1</f>
        <v>39</v>
      </c>
      <c r="JZ10" s="13">
        <f t="shared" si="66"/>
        <v>1480646.2992040908</v>
      </c>
      <c r="KA10" s="14">
        <v>43121</v>
      </c>
      <c r="KC10" s="65">
        <f t="shared" ref="KC10:KC28" si="150">+KC9-1</f>
        <v>18</v>
      </c>
      <c r="KD10" s="13">
        <f t="shared" si="67"/>
        <v>992847.16310539737</v>
      </c>
      <c r="KE10" s="14">
        <v>43126</v>
      </c>
      <c r="KG10" s="65">
        <f t="shared" ref="KG10:KG37" si="151">+KG9-1</f>
        <v>27</v>
      </c>
      <c r="KH10" s="13">
        <f t="shared" si="68"/>
        <v>992196.26306557411</v>
      </c>
      <c r="KI10" s="14">
        <v>43126</v>
      </c>
      <c r="KK10" s="65">
        <f t="shared" ref="KK10:KK43" si="152">+KK9-1</f>
        <v>33</v>
      </c>
      <c r="KL10" s="13">
        <f t="shared" si="69"/>
        <v>1498656.810967579</v>
      </c>
      <c r="KM10" s="14">
        <v>43127</v>
      </c>
      <c r="KO10" s="65">
        <f t="shared" ref="KO10:KO32" si="153">+KO9-1</f>
        <v>22</v>
      </c>
      <c r="KP10" s="13">
        <f t="shared" si="70"/>
        <v>3311654.2129565086</v>
      </c>
      <c r="KQ10" s="14">
        <v>43170</v>
      </c>
      <c r="KS10" s="65">
        <f t="shared" ref="KS10:KS59" si="154">+KS9-1</f>
        <v>49</v>
      </c>
      <c r="KT10" s="13">
        <f t="shared" si="71"/>
        <v>3302076.1141214669</v>
      </c>
      <c r="KU10" s="14">
        <v>43173</v>
      </c>
      <c r="KW10" s="65">
        <f t="shared" ref="KW10:KW50" si="155">+KW9-1</f>
        <v>40</v>
      </c>
      <c r="KX10" s="13">
        <f t="shared" si="72"/>
        <v>2984115.9312747857</v>
      </c>
      <c r="KY10" s="14">
        <v>43175</v>
      </c>
      <c r="LA10" s="65">
        <f t="shared" ref="LA10:LA73" si="156">+LA9-1</f>
        <v>77</v>
      </c>
      <c r="LB10" s="13">
        <f t="shared" si="73"/>
        <v>2626936.5820226925</v>
      </c>
      <c r="LC10" s="14">
        <v>43187</v>
      </c>
      <c r="LE10" s="65">
        <f t="shared" ref="LE10:LE28" si="157">+LE9-1</f>
        <v>18</v>
      </c>
      <c r="LF10" s="13">
        <f t="shared" si="74"/>
        <v>993746.0877710426</v>
      </c>
      <c r="LG10" s="14">
        <v>43190</v>
      </c>
      <c r="LI10" s="65">
        <f t="shared" ref="LI10:LI47" si="158">+LI9-1</f>
        <v>37</v>
      </c>
      <c r="LJ10" s="13">
        <f t="shared" si="75"/>
        <v>2480809.8266148996</v>
      </c>
      <c r="LK10" s="14">
        <v>43194</v>
      </c>
      <c r="LM10" s="65">
        <f t="shared" ref="LM10:LM73" si="159">+LM9-1</f>
        <v>65</v>
      </c>
      <c r="LN10" s="13">
        <f t="shared" si="76"/>
        <v>742725.75934835896</v>
      </c>
      <c r="LO10" s="14">
        <v>43197</v>
      </c>
      <c r="LQ10" s="65">
        <f t="shared" ref="LQ10:LQ44" si="160">+LQ9-1</f>
        <v>34</v>
      </c>
      <c r="LR10" s="13">
        <f t="shared" si="77"/>
        <v>2772416.2622305788</v>
      </c>
      <c r="LS10" s="14">
        <v>43210</v>
      </c>
      <c r="LU10" s="65">
        <f t="shared" ref="LU10:LU22" si="161">+LU9-1</f>
        <v>12</v>
      </c>
      <c r="LV10" s="13">
        <f t="shared" si="78"/>
        <v>832077.21888561605</v>
      </c>
      <c r="LW10" s="14">
        <v>43215</v>
      </c>
      <c r="LY10" s="65">
        <f t="shared" ref="LY10:LY47" si="162">+LY9-1</f>
        <v>37</v>
      </c>
      <c r="LZ10" s="13">
        <f t="shared" si="79"/>
        <v>974543.85428555461</v>
      </c>
      <c r="MA10" s="14">
        <v>43222</v>
      </c>
      <c r="MC10" s="65">
        <f t="shared" ref="MC10:MC42" si="163">+MC9-1</f>
        <v>32</v>
      </c>
      <c r="MD10" s="13">
        <f t="shared" si="80"/>
        <v>2861616.5869336473</v>
      </c>
      <c r="ME10" s="14">
        <v>43224</v>
      </c>
      <c r="MG10" s="65">
        <f t="shared" ref="MG10:MG37" si="164">+MG9-1</f>
        <v>27</v>
      </c>
      <c r="MH10" s="13">
        <f t="shared" si="81"/>
        <v>1770838.7819888822</v>
      </c>
      <c r="MI10" s="14">
        <v>43225</v>
      </c>
      <c r="MK10" s="65">
        <f t="shared" ref="MK10:MK31" si="165">+MK9-1</f>
        <v>21</v>
      </c>
      <c r="ML10" s="13">
        <f t="shared" si="82"/>
        <v>1581310.9063414442</v>
      </c>
      <c r="MM10" s="14">
        <v>43231</v>
      </c>
      <c r="MO10" s="65">
        <f t="shared" ref="MO10:MO28" si="166">+MO9-1</f>
        <v>18</v>
      </c>
      <c r="MP10" s="13">
        <f t="shared" si="83"/>
        <v>1454501.548253255</v>
      </c>
      <c r="MQ10" s="14">
        <v>43233</v>
      </c>
      <c r="MS10" s="65">
        <f t="shared" ref="MS10:MS29" si="167">+MS9-1</f>
        <v>19</v>
      </c>
      <c r="MT10" s="13">
        <f t="shared" si="84"/>
        <v>1440391.9688780922</v>
      </c>
      <c r="MU10" s="14">
        <v>43236</v>
      </c>
    </row>
    <row r="11" spans="1:359" x14ac:dyDescent="0.25">
      <c r="A11" s="15">
        <f t="shared" si="1"/>
        <v>731371.68255410937</v>
      </c>
      <c r="B11" s="20">
        <v>42705</v>
      </c>
      <c r="D11" s="12">
        <v>165</v>
      </c>
      <c r="E11" s="17">
        <v>1139676.1928011607</v>
      </c>
      <c r="F11" s="14">
        <v>42435</v>
      </c>
      <c r="I11" s="12">
        <v>30</v>
      </c>
      <c r="J11" s="17">
        <v>1191662.8881022593</v>
      </c>
      <c r="K11" s="14">
        <v>42477</v>
      </c>
      <c r="N11" s="12">
        <f t="shared" si="85"/>
        <v>95</v>
      </c>
      <c r="O11" s="13">
        <f t="shared" si="2"/>
        <v>731371.68255410937</v>
      </c>
      <c r="P11" s="14">
        <v>42705</v>
      </c>
      <c r="T11" s="15">
        <f t="shared" si="3"/>
        <v>1533921.7002021223</v>
      </c>
      <c r="U11" s="20">
        <v>42954</v>
      </c>
      <c r="W11" s="12">
        <v>165</v>
      </c>
      <c r="X11" s="17">
        <v>1139676.1928011607</v>
      </c>
      <c r="Y11" s="14">
        <v>42435</v>
      </c>
      <c r="AB11" s="12">
        <v>30</v>
      </c>
      <c r="AC11" s="17">
        <v>1191662.8881022593</v>
      </c>
      <c r="AD11" s="14">
        <v>42477</v>
      </c>
      <c r="AG11" s="12">
        <f t="shared" si="86"/>
        <v>30</v>
      </c>
      <c r="AH11" s="13">
        <f t="shared" si="0"/>
        <v>1533921.7002021223</v>
      </c>
      <c r="AI11" s="14">
        <v>42954</v>
      </c>
      <c r="AK11" s="12">
        <f t="shared" si="87"/>
        <v>37</v>
      </c>
      <c r="AL11" s="13">
        <f t="shared" si="4"/>
        <v>1386189.7281670598</v>
      </c>
      <c r="AM11" s="14">
        <v>42961</v>
      </c>
      <c r="AO11" s="12">
        <f t="shared" si="88"/>
        <v>35</v>
      </c>
      <c r="AP11" s="13">
        <f t="shared" si="5"/>
        <v>3649725.6673603896</v>
      </c>
      <c r="AQ11" s="14">
        <v>42964</v>
      </c>
      <c r="AS11" s="12">
        <f t="shared" si="89"/>
        <v>25</v>
      </c>
      <c r="AT11" s="13">
        <f t="shared" si="6"/>
        <v>1233020.9494532607</v>
      </c>
      <c r="AU11" s="14">
        <v>42964</v>
      </c>
      <c r="AW11" s="65">
        <f t="shared" si="90"/>
        <v>27</v>
      </c>
      <c r="AX11" s="13">
        <f t="shared" si="7"/>
        <v>696707.37777920591</v>
      </c>
      <c r="AY11" s="14">
        <v>42966</v>
      </c>
      <c r="BA11" s="65">
        <f t="shared" si="91"/>
        <v>24</v>
      </c>
      <c r="BB11" s="13">
        <f t="shared" si="8"/>
        <v>617464.7815856277</v>
      </c>
      <c r="BC11" s="14">
        <v>42966</v>
      </c>
      <c r="BE11" s="65">
        <f t="shared" si="92"/>
        <v>31</v>
      </c>
      <c r="BF11" s="13">
        <f t="shared" si="9"/>
        <v>1392117.4358377699</v>
      </c>
      <c r="BG11" s="14">
        <v>42967</v>
      </c>
      <c r="BI11" s="65">
        <f t="shared" si="93"/>
        <v>20</v>
      </c>
      <c r="BJ11" s="13">
        <f t="shared" si="10"/>
        <v>2488601.3974899398</v>
      </c>
      <c r="BK11" s="14">
        <v>42971</v>
      </c>
      <c r="BM11" s="65">
        <f t="shared" si="94"/>
        <v>49</v>
      </c>
      <c r="BN11" s="13">
        <f t="shared" si="11"/>
        <v>1862354.6879933984</v>
      </c>
      <c r="BO11" s="14">
        <v>42971</v>
      </c>
      <c r="BQ11" s="65">
        <f t="shared" si="95"/>
        <v>54</v>
      </c>
      <c r="BR11" s="13">
        <f t="shared" si="12"/>
        <v>4286610.6241217237</v>
      </c>
      <c r="BS11" s="14">
        <v>42978</v>
      </c>
      <c r="BU11" s="65">
        <f t="shared" si="96"/>
        <v>23</v>
      </c>
      <c r="BV11" s="13">
        <f t="shared" si="13"/>
        <v>1610055.7614469221</v>
      </c>
      <c r="BW11" s="14">
        <v>42987</v>
      </c>
      <c r="BY11" s="65">
        <f t="shared" si="97"/>
        <v>23</v>
      </c>
      <c r="BZ11" s="13">
        <f t="shared" si="14"/>
        <v>1610055.7614469221</v>
      </c>
      <c r="CA11" s="14">
        <v>42987</v>
      </c>
      <c r="CC11" s="65">
        <f t="shared" si="98"/>
        <v>31</v>
      </c>
      <c r="CD11" s="13">
        <f t="shared" si="15"/>
        <v>1622184.1941582437</v>
      </c>
      <c r="CE11" s="14">
        <v>42988</v>
      </c>
      <c r="CG11" s="65">
        <f t="shared" si="99"/>
        <v>39</v>
      </c>
      <c r="CH11" s="13">
        <f t="shared" si="16"/>
        <v>972742.97281401732</v>
      </c>
      <c r="CI11" s="14">
        <v>42988</v>
      </c>
      <c r="CK11" s="65">
        <f t="shared" si="100"/>
        <v>63</v>
      </c>
      <c r="CL11" s="13">
        <f t="shared" si="17"/>
        <v>800099.50280526839</v>
      </c>
      <c r="CM11" s="14">
        <v>42992</v>
      </c>
      <c r="CO11" s="65">
        <f t="shared" si="101"/>
        <v>20</v>
      </c>
      <c r="CP11" s="13">
        <f t="shared" si="18"/>
        <v>1834183.3006287466</v>
      </c>
      <c r="CQ11" s="14">
        <v>42994</v>
      </c>
      <c r="CS11" s="65">
        <f t="shared" si="102"/>
        <v>16</v>
      </c>
      <c r="CT11" s="13">
        <f t="shared" si="19"/>
        <v>1595403.135222215</v>
      </c>
      <c r="CU11" s="14">
        <v>42994</v>
      </c>
      <c r="CW11" s="65">
        <f t="shared" si="103"/>
        <v>45</v>
      </c>
      <c r="CX11" s="13">
        <f t="shared" si="20"/>
        <v>2545456.6553432038</v>
      </c>
      <c r="CY11" s="14">
        <v>42996</v>
      </c>
      <c r="DA11" s="65">
        <f t="shared" si="104"/>
        <v>25</v>
      </c>
      <c r="DB11" s="13">
        <f t="shared" si="21"/>
        <v>2810378.5415587211</v>
      </c>
      <c r="DC11" s="14">
        <v>43001</v>
      </c>
      <c r="DE11" s="65">
        <f t="shared" si="105"/>
        <v>44</v>
      </c>
      <c r="DF11" s="13">
        <f t="shared" si="22"/>
        <v>3196653.2987630018</v>
      </c>
      <c r="DG11" s="14">
        <v>43002</v>
      </c>
      <c r="DI11" s="65">
        <f t="shared" si="106"/>
        <v>4</v>
      </c>
      <c r="DJ11" s="13">
        <f t="shared" si="23"/>
        <v>640780.20582632313</v>
      </c>
      <c r="DK11" s="14">
        <v>43002</v>
      </c>
      <c r="DM11" s="65">
        <f t="shared" si="107"/>
        <v>17</v>
      </c>
      <c r="DN11" s="13">
        <f t="shared" si="24"/>
        <v>784633.87956899276</v>
      </c>
      <c r="DO11" s="14">
        <v>43009</v>
      </c>
      <c r="DQ11" s="65">
        <f t="shared" si="108"/>
        <v>4</v>
      </c>
      <c r="DR11" s="13">
        <f t="shared" si="25"/>
        <v>640780.20582632313</v>
      </c>
      <c r="DS11" s="14">
        <v>43002</v>
      </c>
      <c r="DU11" s="65">
        <f t="shared" si="109"/>
        <v>89</v>
      </c>
      <c r="DV11" s="13">
        <f t="shared" si="26"/>
        <v>2328387.3080353853</v>
      </c>
      <c r="DW11" s="14">
        <v>43013</v>
      </c>
      <c r="DY11" s="65">
        <f t="shared" si="110"/>
        <v>100</v>
      </c>
      <c r="DZ11" s="13">
        <f t="shared" si="27"/>
        <v>791324.36762633512</v>
      </c>
      <c r="EA11" s="14">
        <v>43016</v>
      </c>
      <c r="EC11" s="65">
        <f t="shared" si="111"/>
        <v>25</v>
      </c>
      <c r="ED11" s="13">
        <f t="shared" si="28"/>
        <v>1260538.6204563819</v>
      </c>
      <c r="EE11" s="14">
        <v>43017</v>
      </c>
      <c r="EG11" s="65">
        <f t="shared" si="112"/>
        <v>33</v>
      </c>
      <c r="EH11" s="13">
        <f t="shared" si="29"/>
        <v>1590953.1848848264</v>
      </c>
      <c r="EI11" s="14">
        <v>43022</v>
      </c>
      <c r="EK11" s="65">
        <f t="shared" si="113"/>
        <v>14</v>
      </c>
      <c r="EL11" s="13">
        <f t="shared" si="30"/>
        <v>968351.84527222125</v>
      </c>
      <c r="EM11" s="14">
        <v>43027</v>
      </c>
      <c r="EO11" s="65">
        <f t="shared" si="114"/>
        <v>74</v>
      </c>
      <c r="EP11" s="13">
        <f t="shared" si="31"/>
        <v>1278148.4804624259</v>
      </c>
      <c r="EQ11" s="14">
        <v>43028</v>
      </c>
      <c r="ES11" s="65">
        <f t="shared" si="115"/>
        <v>31</v>
      </c>
      <c r="ET11" s="13">
        <f t="shared" si="32"/>
        <v>1601604.2442804899</v>
      </c>
      <c r="EU11" s="14">
        <v>43028</v>
      </c>
      <c r="EW11" s="65">
        <f t="shared" si="116"/>
        <v>10</v>
      </c>
      <c r="EX11" s="13">
        <f t="shared" si="33"/>
        <v>2390663.2306311131</v>
      </c>
      <c r="EY11" s="14">
        <v>43029</v>
      </c>
      <c r="FA11" s="65">
        <f t="shared" si="117"/>
        <v>73</v>
      </c>
      <c r="FB11" s="13">
        <f t="shared" si="34"/>
        <v>1257719.5187222986</v>
      </c>
      <c r="FC11" s="14">
        <v>43035</v>
      </c>
      <c r="FE11" s="65">
        <f t="shared" si="118"/>
        <v>68</v>
      </c>
      <c r="FF11" s="13">
        <f t="shared" si="35"/>
        <v>3148693.3801021739</v>
      </c>
      <c r="FG11" s="14">
        <v>43035</v>
      </c>
      <c r="FI11" s="65">
        <f t="shared" si="119"/>
        <v>65</v>
      </c>
      <c r="FJ11" s="13">
        <f t="shared" si="36"/>
        <v>1738673.7753945021</v>
      </c>
      <c r="FK11" s="14">
        <v>43037</v>
      </c>
      <c r="FM11" s="65">
        <f t="shared" si="120"/>
        <v>31</v>
      </c>
      <c r="FN11" s="13">
        <f t="shared" si="37"/>
        <v>1139749.5818411282</v>
      </c>
      <c r="FO11" s="14">
        <v>43042</v>
      </c>
      <c r="FQ11" s="65">
        <f t="shared" si="121"/>
        <v>27</v>
      </c>
      <c r="FR11" s="13">
        <f t="shared" si="38"/>
        <v>1408913.1746400127</v>
      </c>
      <c r="FS11" s="14">
        <v>43042</v>
      </c>
      <c r="FU11" s="65">
        <f t="shared" si="122"/>
        <v>40</v>
      </c>
      <c r="FV11" s="13">
        <f t="shared" si="39"/>
        <v>1902567.1695613158</v>
      </c>
      <c r="FW11" s="14">
        <v>43044</v>
      </c>
      <c r="FY11" s="65">
        <f t="shared" si="123"/>
        <v>26</v>
      </c>
      <c r="FZ11" s="13">
        <f t="shared" si="40"/>
        <v>3942111.372282689</v>
      </c>
      <c r="GA11" s="14">
        <v>43044</v>
      </c>
      <c r="GC11" s="65">
        <f t="shared" si="124"/>
        <v>30</v>
      </c>
      <c r="GD11" s="13">
        <f t="shared" si="41"/>
        <v>867021.49778232595</v>
      </c>
      <c r="GE11" s="14">
        <v>43045</v>
      </c>
      <c r="GG11" s="65">
        <f t="shared" si="125"/>
        <v>26</v>
      </c>
      <c r="GH11" s="13">
        <f t="shared" si="42"/>
        <v>2838306.3015614441</v>
      </c>
      <c r="GI11" s="14">
        <v>43049</v>
      </c>
      <c r="GK11" s="65">
        <f t="shared" si="126"/>
        <v>17</v>
      </c>
      <c r="GL11" s="13">
        <f t="shared" si="43"/>
        <v>945939.91200436791</v>
      </c>
      <c r="GM11" s="14">
        <v>43066</v>
      </c>
      <c r="GO11" s="65">
        <f t="shared" si="127"/>
        <v>27</v>
      </c>
      <c r="GP11" s="13">
        <f t="shared" si="44"/>
        <v>1256270.5820518255</v>
      </c>
      <c r="GQ11" s="14">
        <v>43069</v>
      </c>
      <c r="GS11" s="65">
        <f t="shared" si="128"/>
        <v>32</v>
      </c>
      <c r="GT11" s="13">
        <f t="shared" si="45"/>
        <v>1546611.7369168012</v>
      </c>
      <c r="GU11" s="14">
        <v>43072</v>
      </c>
      <c r="GW11" s="65">
        <f t="shared" si="129"/>
        <v>32</v>
      </c>
      <c r="GX11" s="13">
        <f t="shared" si="46"/>
        <v>921421.39806119946</v>
      </c>
      <c r="GY11" s="14">
        <v>43073</v>
      </c>
      <c r="HA11" s="65">
        <f t="shared" si="130"/>
        <v>32</v>
      </c>
      <c r="HB11" s="13">
        <f t="shared" si="47"/>
        <v>1535865.7250556212</v>
      </c>
      <c r="HC11" s="14">
        <v>43073</v>
      </c>
      <c r="HE11" s="65">
        <f t="shared" si="131"/>
        <v>27</v>
      </c>
      <c r="HF11" s="13">
        <f t="shared" si="48"/>
        <v>1100575.1475519359</v>
      </c>
      <c r="HG11" s="14">
        <v>43077</v>
      </c>
      <c r="HI11" s="65">
        <f t="shared" si="132"/>
        <v>6</v>
      </c>
      <c r="HJ11" s="13">
        <f t="shared" si="49"/>
        <v>763256.10559153988</v>
      </c>
      <c r="HK11" s="14">
        <v>43078</v>
      </c>
      <c r="HM11" s="65">
        <f t="shared" si="133"/>
        <v>5</v>
      </c>
      <c r="HN11" s="13">
        <f t="shared" si="50"/>
        <v>1373984.5952748535</v>
      </c>
      <c r="HO11" s="14">
        <v>43078</v>
      </c>
      <c r="HQ11" s="65">
        <f t="shared" si="134"/>
        <v>29</v>
      </c>
      <c r="HR11" s="13">
        <f t="shared" si="51"/>
        <v>3041164.2450407483</v>
      </c>
      <c r="HS11" s="14">
        <v>43079</v>
      </c>
      <c r="HU11" s="65">
        <f t="shared" si="135"/>
        <v>5</v>
      </c>
      <c r="HV11" s="13">
        <f t="shared" si="52"/>
        <v>1523908.4093880884</v>
      </c>
      <c r="HW11" s="14">
        <v>43083</v>
      </c>
      <c r="HY11" s="65">
        <f t="shared" si="136"/>
        <v>6</v>
      </c>
      <c r="HZ11" s="13">
        <f t="shared" si="53"/>
        <v>1523819.4328437999</v>
      </c>
      <c r="IA11" s="14">
        <v>43083</v>
      </c>
      <c r="IC11" s="65">
        <f t="shared" si="137"/>
        <v>7</v>
      </c>
      <c r="ID11" s="13">
        <f t="shared" si="54"/>
        <v>1219098.8128242146</v>
      </c>
      <c r="IE11" s="14">
        <v>43084</v>
      </c>
      <c r="IG11" s="65">
        <f t="shared" si="138"/>
        <v>30</v>
      </c>
      <c r="IH11" s="13">
        <f t="shared" si="55"/>
        <v>1282966.2219351623</v>
      </c>
      <c r="II11" s="14">
        <v>43094</v>
      </c>
      <c r="IK11" s="65">
        <f t="shared" si="139"/>
        <v>38</v>
      </c>
      <c r="IL11" s="13">
        <f t="shared" si="56"/>
        <v>2578746.922642576</v>
      </c>
      <c r="IM11" s="14">
        <v>43098</v>
      </c>
      <c r="IO11" s="65">
        <f t="shared" si="140"/>
        <v>30</v>
      </c>
      <c r="IP11" s="13">
        <f t="shared" si="57"/>
        <v>1133529.8152892769</v>
      </c>
      <c r="IQ11" s="14">
        <v>43099</v>
      </c>
      <c r="IS11" s="65">
        <f t="shared" si="141"/>
        <v>27</v>
      </c>
      <c r="IT11" s="13">
        <f t="shared" si="58"/>
        <v>1487991.779535833</v>
      </c>
      <c r="IU11" s="14">
        <v>43105</v>
      </c>
      <c r="IW11" s="65">
        <f t="shared" si="142"/>
        <v>31</v>
      </c>
      <c r="IX11" s="13">
        <f t="shared" si="59"/>
        <v>1643468.8115781168</v>
      </c>
      <c r="IY11" s="14">
        <v>43105</v>
      </c>
      <c r="JA11" s="65">
        <f t="shared" si="143"/>
        <v>55</v>
      </c>
      <c r="JB11" s="13">
        <f t="shared" si="60"/>
        <v>985872.91140552133</v>
      </c>
      <c r="JC11" s="14">
        <v>43111</v>
      </c>
      <c r="JE11" s="65">
        <f t="shared" si="144"/>
        <v>38</v>
      </c>
      <c r="JF11" s="13">
        <f t="shared" si="61"/>
        <v>1480722.0454293247</v>
      </c>
      <c r="JG11" s="14">
        <v>43122</v>
      </c>
      <c r="JI11" s="65">
        <f t="shared" si="145"/>
        <v>17</v>
      </c>
      <c r="JJ11" s="13">
        <f t="shared" si="62"/>
        <v>992898.51762572001</v>
      </c>
      <c r="JK11" s="14">
        <v>43127</v>
      </c>
      <c r="JM11" s="65">
        <f t="shared" si="146"/>
        <v>26</v>
      </c>
      <c r="JN11" s="13">
        <f t="shared" si="63"/>
        <v>992249.07803109358</v>
      </c>
      <c r="JO11" s="14">
        <v>43127</v>
      </c>
      <c r="JQ11" s="65">
        <f t="shared" si="147"/>
        <v>32</v>
      </c>
      <c r="JR11" s="13">
        <f t="shared" si="64"/>
        <v>1498743.6115309296</v>
      </c>
      <c r="JS11" s="14">
        <v>43128</v>
      </c>
      <c r="JU11" s="65">
        <f t="shared" si="148"/>
        <v>60</v>
      </c>
      <c r="JV11" s="13">
        <f t="shared" si="65"/>
        <v>1649342.2717634123</v>
      </c>
      <c r="JW11" s="14">
        <v>43133</v>
      </c>
      <c r="JY11" s="65">
        <f t="shared" si="149"/>
        <v>38</v>
      </c>
      <c r="JZ11" s="13">
        <f t="shared" si="66"/>
        <v>1480722.0454293247</v>
      </c>
      <c r="KA11" s="14">
        <v>43122</v>
      </c>
      <c r="KC11" s="65">
        <f t="shared" si="150"/>
        <v>17</v>
      </c>
      <c r="KD11" s="13">
        <f t="shared" si="67"/>
        <v>992898.51762572001</v>
      </c>
      <c r="KE11" s="14">
        <v>43127</v>
      </c>
      <c r="KG11" s="65">
        <f t="shared" si="151"/>
        <v>26</v>
      </c>
      <c r="KH11" s="13">
        <f t="shared" si="68"/>
        <v>992249.07803109358</v>
      </c>
      <c r="KI11" s="14">
        <v>43127</v>
      </c>
      <c r="KK11" s="65">
        <f t="shared" si="152"/>
        <v>32</v>
      </c>
      <c r="KL11" s="13">
        <f t="shared" si="69"/>
        <v>1498743.6115309296</v>
      </c>
      <c r="KM11" s="14">
        <v>43128</v>
      </c>
      <c r="KO11" s="65">
        <f t="shared" si="153"/>
        <v>21</v>
      </c>
      <c r="KP11" s="13">
        <f t="shared" si="70"/>
        <v>3311887.9739260003</v>
      </c>
      <c r="KQ11" s="14">
        <v>43171</v>
      </c>
      <c r="KS11" s="65">
        <f t="shared" si="154"/>
        <v>48</v>
      </c>
      <c r="KT11" s="13">
        <f t="shared" si="71"/>
        <v>3302287.4767617509</v>
      </c>
      <c r="KU11" s="14">
        <v>43174</v>
      </c>
      <c r="KW11" s="65">
        <f t="shared" si="155"/>
        <v>39</v>
      </c>
      <c r="KX11" s="13">
        <f t="shared" si="72"/>
        <v>2984300.6862218892</v>
      </c>
      <c r="KY11" s="14">
        <v>43176</v>
      </c>
      <c r="LA11" s="65">
        <f t="shared" si="156"/>
        <v>76</v>
      </c>
      <c r="LB11" s="13">
        <f t="shared" si="73"/>
        <v>2627136.8138100998</v>
      </c>
      <c r="LC11" s="14">
        <v>43188</v>
      </c>
      <c r="LE11" s="65">
        <f t="shared" si="157"/>
        <v>17</v>
      </c>
      <c r="LF11" s="13">
        <f t="shared" si="74"/>
        <v>993835.33569604449</v>
      </c>
      <c r="LG11" s="14">
        <v>43191</v>
      </c>
      <c r="LI11" s="65">
        <f t="shared" si="158"/>
        <v>36</v>
      </c>
      <c r="LJ11" s="13">
        <f t="shared" si="75"/>
        <v>2480980.7502441015</v>
      </c>
      <c r="LK11" s="14">
        <v>43195</v>
      </c>
      <c r="LM11" s="65">
        <f t="shared" si="159"/>
        <v>64</v>
      </c>
      <c r="LN11" s="13">
        <f t="shared" si="76"/>
        <v>742778.69033663638</v>
      </c>
      <c r="LO11" s="14">
        <v>43198</v>
      </c>
      <c r="LQ11" s="65">
        <f t="shared" si="160"/>
        <v>33</v>
      </c>
      <c r="LR11" s="13">
        <f t="shared" si="77"/>
        <v>2772594.2126050512</v>
      </c>
      <c r="LS11" s="14">
        <v>43211</v>
      </c>
      <c r="LU11" s="65">
        <f t="shared" si="161"/>
        <v>11</v>
      </c>
      <c r="LV11" s="13">
        <f t="shared" si="78"/>
        <v>832134.4301270328</v>
      </c>
      <c r="LW11" s="14">
        <v>43216</v>
      </c>
      <c r="LY11" s="65">
        <f t="shared" si="162"/>
        <v>36</v>
      </c>
      <c r="LZ11" s="13">
        <f t="shared" si="79"/>
        <v>974609.85483518173</v>
      </c>
      <c r="MA11" s="14">
        <v>43223</v>
      </c>
      <c r="MC11" s="65">
        <f t="shared" si="163"/>
        <v>31</v>
      </c>
      <c r="MD11" s="13">
        <f t="shared" si="80"/>
        <v>2861798.8252106323</v>
      </c>
      <c r="ME11" s="14">
        <v>43225</v>
      </c>
      <c r="MG11" s="65">
        <f t="shared" si="164"/>
        <v>26</v>
      </c>
      <c r="MH11" s="13">
        <f t="shared" si="81"/>
        <v>1770958.5822924825</v>
      </c>
      <c r="MI11" s="14">
        <v>43226</v>
      </c>
      <c r="MK11" s="65">
        <f t="shared" si="165"/>
        <v>20</v>
      </c>
      <c r="ML11" s="13">
        <f t="shared" si="82"/>
        <v>1581412.9242533327</v>
      </c>
      <c r="MM11" s="14">
        <v>43232</v>
      </c>
      <c r="MO11" s="65">
        <f t="shared" si="166"/>
        <v>17</v>
      </c>
      <c r="MP11" s="13">
        <f t="shared" si="83"/>
        <v>1454614.9989210223</v>
      </c>
      <c r="MQ11" s="14">
        <v>43234</v>
      </c>
      <c r="MS11" s="65">
        <f t="shared" si="167"/>
        <v>18</v>
      </c>
      <c r="MT11" s="13">
        <f t="shared" si="84"/>
        <v>1440492.6694332142</v>
      </c>
      <c r="MU11" s="14">
        <v>43237</v>
      </c>
    </row>
    <row r="12" spans="1:359" x14ac:dyDescent="0.25">
      <c r="A12" s="15">
        <f t="shared" si="1"/>
        <v>731400.92808252189</v>
      </c>
      <c r="B12" s="20">
        <v>42706</v>
      </c>
      <c r="D12" s="12">
        <v>164</v>
      </c>
      <c r="E12" s="17">
        <v>1139703.2901636951</v>
      </c>
      <c r="F12" s="14">
        <v>42436</v>
      </c>
      <c r="I12" s="12">
        <v>29</v>
      </c>
      <c r="J12" s="17">
        <v>1191677.1362123513</v>
      </c>
      <c r="K12" s="14">
        <v>42478</v>
      </c>
      <c r="N12" s="12">
        <f t="shared" si="85"/>
        <v>94</v>
      </c>
      <c r="O12" s="13">
        <f t="shared" si="2"/>
        <v>731400.92808252189</v>
      </c>
      <c r="P12" s="14">
        <v>42706</v>
      </c>
      <c r="T12" s="15">
        <f t="shared" si="3"/>
        <v>1534000.4264282002</v>
      </c>
      <c r="U12" s="20">
        <v>42955</v>
      </c>
      <c r="W12" s="12">
        <v>164</v>
      </c>
      <c r="X12" s="17">
        <v>1139703.2901636951</v>
      </c>
      <c r="Y12" s="14">
        <v>42436</v>
      </c>
      <c r="AB12" s="12">
        <v>29</v>
      </c>
      <c r="AC12" s="17">
        <v>1191677.1362123513</v>
      </c>
      <c r="AD12" s="14">
        <v>42478</v>
      </c>
      <c r="AG12" s="12">
        <f t="shared" si="86"/>
        <v>29</v>
      </c>
      <c r="AH12" s="13">
        <f t="shared" si="0"/>
        <v>1534000.4264282002</v>
      </c>
      <c r="AI12" s="14">
        <v>42955</v>
      </c>
      <c r="AK12" s="12">
        <f t="shared" si="87"/>
        <v>36</v>
      </c>
      <c r="AL12" s="13">
        <f t="shared" si="4"/>
        <v>1386259.0780980499</v>
      </c>
      <c r="AM12" s="14">
        <v>42962</v>
      </c>
      <c r="AO12" s="12">
        <f t="shared" si="88"/>
        <v>34</v>
      </c>
      <c r="AP12" s="13">
        <f t="shared" si="5"/>
        <v>3649924.5064692115</v>
      </c>
      <c r="AQ12" s="14">
        <v>42965</v>
      </c>
      <c r="AS12" s="12">
        <f t="shared" si="89"/>
        <v>24</v>
      </c>
      <c r="AT12" s="13">
        <f t="shared" si="6"/>
        <v>1233094.917015685</v>
      </c>
      <c r="AU12" s="14">
        <v>42965</v>
      </c>
      <c r="AW12" s="65">
        <f t="shared" si="90"/>
        <v>26</v>
      </c>
      <c r="AX12" s="13">
        <f t="shared" si="7"/>
        <v>696744.34488313424</v>
      </c>
      <c r="AY12" s="14">
        <v>42967</v>
      </c>
      <c r="BA12" s="65">
        <f t="shared" si="91"/>
        <v>23</v>
      </c>
      <c r="BB12" s="13">
        <f t="shared" si="8"/>
        <v>617501.72762139258</v>
      </c>
      <c r="BC12" s="14">
        <v>42967</v>
      </c>
      <c r="BE12" s="65">
        <f t="shared" si="92"/>
        <v>30</v>
      </c>
      <c r="BF12" s="13">
        <f t="shared" si="9"/>
        <v>1392197.126026615</v>
      </c>
      <c r="BG12" s="14">
        <v>42968</v>
      </c>
      <c r="BI12" s="65">
        <f t="shared" si="93"/>
        <v>19</v>
      </c>
      <c r="BJ12" s="13">
        <f t="shared" si="10"/>
        <v>2488733.2812707927</v>
      </c>
      <c r="BK12" s="14">
        <v>42972</v>
      </c>
      <c r="BM12" s="65">
        <f t="shared" si="94"/>
        <v>48</v>
      </c>
      <c r="BN12" s="13">
        <f t="shared" si="11"/>
        <v>1862453.5283029911</v>
      </c>
      <c r="BO12" s="14">
        <v>42972</v>
      </c>
      <c r="BQ12" s="65">
        <f t="shared" si="95"/>
        <v>53</v>
      </c>
      <c r="BR12" s="13">
        <f t="shared" si="12"/>
        <v>4286909.4854852026</v>
      </c>
      <c r="BS12" s="14">
        <v>42979</v>
      </c>
      <c r="BU12" s="65">
        <f t="shared" si="96"/>
        <v>22</v>
      </c>
      <c r="BV12" s="13">
        <f t="shared" si="13"/>
        <v>1610129.7577952831</v>
      </c>
      <c r="BW12" s="14">
        <v>42988</v>
      </c>
      <c r="BY12" s="65">
        <f t="shared" si="97"/>
        <v>22</v>
      </c>
      <c r="BZ12" s="13">
        <f t="shared" si="14"/>
        <v>1610129.7577952831</v>
      </c>
      <c r="CA12" s="14">
        <v>42988</v>
      </c>
      <c r="CC12" s="65">
        <f t="shared" si="98"/>
        <v>30</v>
      </c>
      <c r="CD12" s="13">
        <f t="shared" si="15"/>
        <v>1622254.8911998114</v>
      </c>
      <c r="CE12" s="14">
        <v>42989</v>
      </c>
      <c r="CG12" s="65">
        <f t="shared" si="99"/>
        <v>38</v>
      </c>
      <c r="CH12" s="13">
        <f t="shared" si="16"/>
        <v>972785.93800828699</v>
      </c>
      <c r="CI12" s="14">
        <v>42989</v>
      </c>
      <c r="CK12" s="65">
        <f t="shared" si="100"/>
        <v>62</v>
      </c>
      <c r="CL12" s="13">
        <f t="shared" si="17"/>
        <v>800137.14749042189</v>
      </c>
      <c r="CM12" s="14">
        <v>42993</v>
      </c>
      <c r="CO12" s="65">
        <f t="shared" si="101"/>
        <v>19</v>
      </c>
      <c r="CP12" s="13">
        <f t="shared" si="18"/>
        <v>1834255.2754672931</v>
      </c>
      <c r="CQ12" s="14">
        <v>42995</v>
      </c>
      <c r="CS12" s="65">
        <f t="shared" si="102"/>
        <v>15</v>
      </c>
      <c r="CT12" s="13">
        <f t="shared" si="19"/>
        <v>1595463.7194974648</v>
      </c>
      <c r="CU12" s="14">
        <v>42995</v>
      </c>
      <c r="CW12" s="65">
        <f t="shared" si="103"/>
        <v>44</v>
      </c>
      <c r="CX12" s="13">
        <f t="shared" si="20"/>
        <v>2545570.1306887227</v>
      </c>
      <c r="CY12" s="14">
        <v>42997</v>
      </c>
      <c r="DA12" s="65">
        <f t="shared" si="104"/>
        <v>24</v>
      </c>
      <c r="DB12" s="13">
        <f t="shared" si="21"/>
        <v>2810505.2649306138</v>
      </c>
      <c r="DC12" s="14">
        <v>43002</v>
      </c>
      <c r="DE12" s="65">
        <f t="shared" si="105"/>
        <v>43</v>
      </c>
      <c r="DF12" s="13">
        <f t="shared" si="22"/>
        <v>3196810.5726291193</v>
      </c>
      <c r="DG12" s="14">
        <v>43003</v>
      </c>
      <c r="DI12" s="65">
        <f t="shared" si="106"/>
        <v>3</v>
      </c>
      <c r="DJ12" s="13">
        <f t="shared" si="23"/>
        <v>640803.04769160529</v>
      </c>
      <c r="DK12" s="14">
        <v>43003</v>
      </c>
      <c r="DM12" s="65">
        <f t="shared" si="107"/>
        <v>16</v>
      </c>
      <c r="DN12" s="13">
        <f t="shared" si="24"/>
        <v>784672.26026682032</v>
      </c>
      <c r="DO12" s="14">
        <v>43010</v>
      </c>
      <c r="DQ12" s="65">
        <f t="shared" si="108"/>
        <v>3</v>
      </c>
      <c r="DR12" s="13">
        <f t="shared" si="25"/>
        <v>640803.04769160529</v>
      </c>
      <c r="DS12" s="14">
        <v>43003</v>
      </c>
      <c r="DU12" s="65">
        <f t="shared" si="109"/>
        <v>88</v>
      </c>
      <c r="DV12" s="13">
        <f t="shared" si="26"/>
        <v>2328501.9432850974</v>
      </c>
      <c r="DW12" s="14">
        <v>43014</v>
      </c>
      <c r="DY12" s="65">
        <f t="shared" si="110"/>
        <v>99</v>
      </c>
      <c r="DZ12" s="13">
        <f t="shared" si="27"/>
        <v>791365.72547942959</v>
      </c>
      <c r="EA12" s="14">
        <v>43017</v>
      </c>
      <c r="EC12" s="65">
        <f t="shared" si="111"/>
        <v>24</v>
      </c>
      <c r="ED12" s="13">
        <f t="shared" si="28"/>
        <v>1260599.7457957675</v>
      </c>
      <c r="EE12" s="14">
        <v>43018</v>
      </c>
      <c r="EG12" s="65">
        <f t="shared" si="112"/>
        <v>32</v>
      </c>
      <c r="EH12" s="13">
        <f t="shared" si="29"/>
        <v>1591038.6348672088</v>
      </c>
      <c r="EI12" s="14">
        <v>43023</v>
      </c>
      <c r="EK12" s="65">
        <f t="shared" si="113"/>
        <v>13</v>
      </c>
      <c r="EL12" s="13">
        <f t="shared" si="30"/>
        <v>968399.79319097463</v>
      </c>
      <c r="EM12" s="14">
        <v>43028</v>
      </c>
      <c r="EO12" s="65">
        <f t="shared" si="114"/>
        <v>73</v>
      </c>
      <c r="EP12" s="13">
        <f t="shared" si="31"/>
        <v>1278223.1413906044</v>
      </c>
      <c r="EQ12" s="14">
        <v>43029</v>
      </c>
      <c r="ES12" s="65">
        <f t="shared" si="115"/>
        <v>30</v>
      </c>
      <c r="ET12" s="13">
        <f t="shared" si="32"/>
        <v>1601697.2539743138</v>
      </c>
      <c r="EU12" s="14">
        <v>43029</v>
      </c>
      <c r="EW12" s="65">
        <f t="shared" si="116"/>
        <v>9</v>
      </c>
      <c r="EX12" s="13">
        <f t="shared" si="33"/>
        <v>2390758.8494701544</v>
      </c>
      <c r="EY12" s="14">
        <v>43030</v>
      </c>
      <c r="FA12" s="65">
        <f t="shared" si="117"/>
        <v>72</v>
      </c>
      <c r="FB12" s="13">
        <f t="shared" si="34"/>
        <v>1257794.3327597473</v>
      </c>
      <c r="FC12" s="14">
        <v>43036</v>
      </c>
      <c r="FE12" s="65">
        <f t="shared" si="118"/>
        <v>67</v>
      </c>
      <c r="FF12" s="13">
        <f t="shared" si="35"/>
        <v>3148869.376143259</v>
      </c>
      <c r="FG12" s="14">
        <v>43036</v>
      </c>
      <c r="FI12" s="65">
        <f t="shared" si="119"/>
        <v>64</v>
      </c>
      <c r="FJ12" s="13">
        <f t="shared" si="36"/>
        <v>1738779.7396852141</v>
      </c>
      <c r="FK12" s="14">
        <v>43038</v>
      </c>
      <c r="FM12" s="65">
        <f t="shared" si="120"/>
        <v>30</v>
      </c>
      <c r="FN12" s="13">
        <f t="shared" si="37"/>
        <v>1139817.2185061981</v>
      </c>
      <c r="FO12" s="14">
        <v>43043</v>
      </c>
      <c r="FQ12" s="65">
        <f t="shared" si="121"/>
        <v>26</v>
      </c>
      <c r="FR12" s="13">
        <f t="shared" si="38"/>
        <v>1408995.7055200271</v>
      </c>
      <c r="FS12" s="14">
        <v>43043</v>
      </c>
      <c r="FU12" s="65">
        <f t="shared" si="122"/>
        <v>39</v>
      </c>
      <c r="FV12" s="13">
        <f t="shared" si="39"/>
        <v>1902679.7593934101</v>
      </c>
      <c r="FW12" s="14">
        <v>43045</v>
      </c>
      <c r="FY12" s="65">
        <f t="shared" si="123"/>
        <v>25</v>
      </c>
      <c r="FZ12" s="13">
        <f t="shared" si="40"/>
        <v>3942333.2329773237</v>
      </c>
      <c r="GA12" s="14">
        <v>43045</v>
      </c>
      <c r="GC12" s="65">
        <f t="shared" si="124"/>
        <v>29</v>
      </c>
      <c r="GD12" s="13">
        <f t="shared" si="41"/>
        <v>867070.05125003494</v>
      </c>
      <c r="GE12" s="14">
        <v>43046</v>
      </c>
      <c r="GG12" s="65">
        <f t="shared" si="125"/>
        <v>25</v>
      </c>
      <c r="GH12" s="13">
        <f t="shared" si="42"/>
        <v>2838461.40931316</v>
      </c>
      <c r="GI12" s="14">
        <v>43050</v>
      </c>
      <c r="GK12" s="65">
        <f t="shared" si="126"/>
        <v>16</v>
      </c>
      <c r="GL12" s="13">
        <f t="shared" si="43"/>
        <v>946009.19963376317</v>
      </c>
      <c r="GM12" s="14">
        <v>43067</v>
      </c>
      <c r="GO12" s="65">
        <f t="shared" si="127"/>
        <v>26</v>
      </c>
      <c r="GP12" s="13">
        <f t="shared" si="44"/>
        <v>1256373.28297492</v>
      </c>
      <c r="GQ12" s="14">
        <v>43070</v>
      </c>
      <c r="GS12" s="65">
        <f t="shared" si="128"/>
        <v>31</v>
      </c>
      <c r="GT12" s="13">
        <f t="shared" si="45"/>
        <v>1546736.1825961508</v>
      </c>
      <c r="GU12" s="14">
        <v>43073</v>
      </c>
      <c r="GW12" s="65">
        <f t="shared" si="129"/>
        <v>31</v>
      </c>
      <c r="GX12" s="13">
        <f t="shared" si="46"/>
        <v>921492.50268961897</v>
      </c>
      <c r="GY12" s="14">
        <v>43074</v>
      </c>
      <c r="HA12" s="65">
        <f t="shared" si="130"/>
        <v>31</v>
      </c>
      <c r="HB12" s="13">
        <f t="shared" si="47"/>
        <v>1535979.1502371745</v>
      </c>
      <c r="HC12" s="14">
        <v>43074</v>
      </c>
      <c r="HE12" s="65">
        <f t="shared" si="131"/>
        <v>26</v>
      </c>
      <c r="HF12" s="13">
        <f t="shared" si="48"/>
        <v>1100658.2351523698</v>
      </c>
      <c r="HG12" s="14">
        <v>43078</v>
      </c>
      <c r="HI12" s="65">
        <f t="shared" si="132"/>
        <v>5</v>
      </c>
      <c r="HJ12" s="13">
        <f t="shared" si="49"/>
        <v>763312.05719036364</v>
      </c>
      <c r="HK12" s="14">
        <v>43079</v>
      </c>
      <c r="HM12" s="65">
        <f t="shared" si="133"/>
        <v>4</v>
      </c>
      <c r="HN12" s="13">
        <f t="shared" si="50"/>
        <v>1374080.7472739629</v>
      </c>
      <c r="HO12" s="14">
        <v>43079</v>
      </c>
      <c r="HQ12" s="65">
        <f t="shared" si="134"/>
        <v>28</v>
      </c>
      <c r="HR12" s="13">
        <f t="shared" si="51"/>
        <v>3041437.4048274648</v>
      </c>
      <c r="HS12" s="14">
        <v>43080</v>
      </c>
      <c r="HU12" s="65">
        <f t="shared" si="135"/>
        <v>4</v>
      </c>
      <c r="HV12" s="13">
        <f t="shared" si="52"/>
        <v>1524018.6877629403</v>
      </c>
      <c r="HW12" s="14">
        <v>43084</v>
      </c>
      <c r="HY12" s="65">
        <f t="shared" si="136"/>
        <v>5</v>
      </c>
      <c r="HZ12" s="13">
        <f t="shared" si="53"/>
        <v>1523933.891504074</v>
      </c>
      <c r="IA12" s="14">
        <v>43084</v>
      </c>
      <c r="IC12" s="65">
        <f t="shared" si="137"/>
        <v>6</v>
      </c>
      <c r="ID12" s="13">
        <f t="shared" si="54"/>
        <v>1219245.4442781773</v>
      </c>
      <c r="IE12" s="14">
        <v>43085</v>
      </c>
      <c r="IG12" s="65">
        <f t="shared" si="138"/>
        <v>29</v>
      </c>
      <c r="IH12" s="13">
        <f t="shared" si="55"/>
        <v>1283072.8780347493</v>
      </c>
      <c r="II12" s="14">
        <v>43095</v>
      </c>
      <c r="IK12" s="65">
        <f t="shared" si="139"/>
        <v>37</v>
      </c>
      <c r="IL12" s="13">
        <f t="shared" si="56"/>
        <v>2578964.2000606493</v>
      </c>
      <c r="IM12" s="14">
        <v>43099</v>
      </c>
      <c r="IO12" s="65">
        <f t="shared" si="140"/>
        <v>29</v>
      </c>
      <c r="IP12" s="13">
        <f t="shared" si="57"/>
        <v>1133624.048377255</v>
      </c>
      <c r="IQ12" s="14">
        <v>43100</v>
      </c>
      <c r="IS12" s="65">
        <f t="shared" si="141"/>
        <v>26</v>
      </c>
      <c r="IT12" s="13">
        <f t="shared" si="58"/>
        <v>1488085.3062227527</v>
      </c>
      <c r="IU12" s="14">
        <v>43106</v>
      </c>
      <c r="IW12" s="65">
        <f t="shared" si="142"/>
        <v>30</v>
      </c>
      <c r="IX12" s="13">
        <f t="shared" si="59"/>
        <v>1643570.6806883325</v>
      </c>
      <c r="IY12" s="14">
        <v>43106</v>
      </c>
      <c r="JA12" s="65">
        <f t="shared" si="143"/>
        <v>54</v>
      </c>
      <c r="JB12" s="13">
        <f t="shared" si="60"/>
        <v>985925.27299576125</v>
      </c>
      <c r="JC12" s="14">
        <v>43112</v>
      </c>
      <c r="JE12" s="65">
        <f t="shared" si="144"/>
        <v>37</v>
      </c>
      <c r="JF12" s="13">
        <f t="shared" si="61"/>
        <v>1480797.7994049361</v>
      </c>
      <c r="JG12" s="14">
        <v>43123</v>
      </c>
      <c r="JI12" s="65">
        <f t="shared" si="145"/>
        <v>16</v>
      </c>
      <c r="JJ12" s="13">
        <f t="shared" si="62"/>
        <v>992949.87745889078</v>
      </c>
      <c r="JK12" s="14">
        <v>43128</v>
      </c>
      <c r="JM12" s="65">
        <f t="shared" si="146"/>
        <v>25</v>
      </c>
      <c r="JN12" s="13">
        <f t="shared" si="63"/>
        <v>992301.89861963165</v>
      </c>
      <c r="JO12" s="14">
        <v>43128</v>
      </c>
      <c r="JQ12" s="65">
        <f t="shared" si="147"/>
        <v>31</v>
      </c>
      <c r="JR12" s="13">
        <f t="shared" si="64"/>
        <v>1498830.4221496496</v>
      </c>
      <c r="JS12" s="14">
        <v>43129</v>
      </c>
      <c r="JU12" s="65">
        <f t="shared" si="148"/>
        <v>59</v>
      </c>
      <c r="JV12" s="13">
        <f t="shared" si="65"/>
        <v>1649444.3943041591</v>
      </c>
      <c r="JW12" s="14">
        <v>43134</v>
      </c>
      <c r="JY12" s="65">
        <f t="shared" si="149"/>
        <v>37</v>
      </c>
      <c r="JZ12" s="13">
        <f t="shared" si="66"/>
        <v>1480797.7994049361</v>
      </c>
      <c r="KA12" s="14">
        <v>43123</v>
      </c>
      <c r="KC12" s="65">
        <f t="shared" si="150"/>
        <v>16</v>
      </c>
      <c r="KD12" s="13">
        <f t="shared" si="67"/>
        <v>992949.87745889078</v>
      </c>
      <c r="KE12" s="14">
        <v>43128</v>
      </c>
      <c r="KG12" s="65">
        <f t="shared" si="151"/>
        <v>25</v>
      </c>
      <c r="KH12" s="13">
        <f t="shared" si="68"/>
        <v>992301.89861963165</v>
      </c>
      <c r="KI12" s="14">
        <v>43128</v>
      </c>
      <c r="KK12" s="65">
        <f t="shared" si="152"/>
        <v>31</v>
      </c>
      <c r="KL12" s="13">
        <f t="shared" si="69"/>
        <v>1498830.4221496496</v>
      </c>
      <c r="KM12" s="14">
        <v>43129</v>
      </c>
      <c r="KO12" s="65">
        <f t="shared" si="153"/>
        <v>20</v>
      </c>
      <c r="KP12" s="13">
        <f t="shared" si="70"/>
        <v>3312121.767898967</v>
      </c>
      <c r="KQ12" s="14">
        <v>43172</v>
      </c>
      <c r="KS12" s="65">
        <f t="shared" si="154"/>
        <v>47</v>
      </c>
      <c r="KT12" s="13">
        <f t="shared" si="71"/>
        <v>3302498.866461996</v>
      </c>
      <c r="KU12" s="14">
        <v>43175</v>
      </c>
      <c r="KW12" s="65">
        <f t="shared" si="155"/>
        <v>38</v>
      </c>
      <c r="KX12" s="13">
        <f t="shared" si="72"/>
        <v>2984485.464047798</v>
      </c>
      <c r="KY12" s="14">
        <v>43177</v>
      </c>
      <c r="LA12" s="65">
        <f t="shared" si="156"/>
        <v>75</v>
      </c>
      <c r="LB12" s="13">
        <f t="shared" si="73"/>
        <v>2627337.0761241862</v>
      </c>
      <c r="LC12" s="14">
        <v>43189</v>
      </c>
      <c r="LE12" s="65">
        <f t="shared" si="157"/>
        <v>16</v>
      </c>
      <c r="LF12" s="13">
        <f t="shared" si="74"/>
        <v>993924.59965312469</v>
      </c>
      <c r="LG12" s="14">
        <v>43192</v>
      </c>
      <c r="LI12" s="65">
        <f t="shared" si="158"/>
        <v>35</v>
      </c>
      <c r="LJ12" s="13">
        <f t="shared" si="75"/>
        <v>2481151.6974276276</v>
      </c>
      <c r="LK12" s="14">
        <v>43196</v>
      </c>
      <c r="LM12" s="65">
        <f t="shared" si="159"/>
        <v>63</v>
      </c>
      <c r="LN12" s="13">
        <f t="shared" si="76"/>
        <v>742831.62886979606</v>
      </c>
      <c r="LO12" s="14">
        <v>43199</v>
      </c>
      <c r="LQ12" s="65">
        <f t="shared" si="160"/>
        <v>32</v>
      </c>
      <c r="LR12" s="13">
        <f t="shared" si="77"/>
        <v>2772772.1858248441</v>
      </c>
      <c r="LS12" s="14">
        <v>43212</v>
      </c>
      <c r="LU12" s="65">
        <f t="shared" si="161"/>
        <v>10</v>
      </c>
      <c r="LV12" s="13">
        <f t="shared" si="78"/>
        <v>832191.64923635195</v>
      </c>
      <c r="LW12" s="14">
        <v>43217</v>
      </c>
      <c r="LY12" s="65">
        <f t="shared" si="162"/>
        <v>35</v>
      </c>
      <c r="LZ12" s="13">
        <f t="shared" si="79"/>
        <v>974675.86432513036</v>
      </c>
      <c r="MA12" s="14">
        <v>43224</v>
      </c>
      <c r="MC12" s="65">
        <f t="shared" si="163"/>
        <v>30</v>
      </c>
      <c r="MD12" s="13">
        <f t="shared" si="80"/>
        <v>2861981.0867003049</v>
      </c>
      <c r="ME12" s="14">
        <v>43226</v>
      </c>
      <c r="MG12" s="65">
        <f t="shared" si="164"/>
        <v>25</v>
      </c>
      <c r="MH12" s="13">
        <f t="shared" si="81"/>
        <v>1771078.3988065743</v>
      </c>
      <c r="MI12" s="14">
        <v>43227</v>
      </c>
      <c r="MK12" s="65">
        <f t="shared" si="165"/>
        <v>19</v>
      </c>
      <c r="ML12" s="13">
        <f t="shared" si="82"/>
        <v>1581514.9553293949</v>
      </c>
      <c r="MM12" s="14">
        <v>43233</v>
      </c>
      <c r="MO12" s="65">
        <f t="shared" si="166"/>
        <v>16</v>
      </c>
      <c r="MP12" s="13">
        <f t="shared" si="83"/>
        <v>1454728.4672884035</v>
      </c>
      <c r="MQ12" s="14">
        <v>43235</v>
      </c>
      <c r="MS12" s="65">
        <f t="shared" si="167"/>
        <v>17</v>
      </c>
      <c r="MT12" s="13">
        <f t="shared" si="84"/>
        <v>1440593.3840696572</v>
      </c>
      <c r="MU12" s="14">
        <v>43238</v>
      </c>
    </row>
    <row r="13" spans="1:359" x14ac:dyDescent="0.25">
      <c r="A13" s="15">
        <f t="shared" si="1"/>
        <v>731430.17594992334</v>
      </c>
      <c r="B13" s="20">
        <v>42707</v>
      </c>
      <c r="D13" s="12">
        <v>163</v>
      </c>
      <c r="E13" s="17">
        <v>1139730.3888148139</v>
      </c>
      <c r="F13" s="14">
        <v>42437</v>
      </c>
      <c r="I13" s="12">
        <v>28</v>
      </c>
      <c r="J13" s="17">
        <v>1191691.3846631623</v>
      </c>
      <c r="K13" s="14">
        <v>42479</v>
      </c>
      <c r="N13" s="12">
        <f t="shared" si="85"/>
        <v>93</v>
      </c>
      <c r="O13" s="13">
        <f t="shared" si="2"/>
        <v>731430.17594992334</v>
      </c>
      <c r="P13" s="14">
        <v>42707</v>
      </c>
      <c r="T13" s="15">
        <f t="shared" si="3"/>
        <v>1534079.1607357031</v>
      </c>
      <c r="U13" s="20">
        <v>42956</v>
      </c>
      <c r="W13" s="12">
        <v>163</v>
      </c>
      <c r="X13" s="17">
        <v>1139730.3888148139</v>
      </c>
      <c r="Y13" s="14">
        <v>42437</v>
      </c>
      <c r="AB13" s="12">
        <v>28</v>
      </c>
      <c r="AC13" s="17">
        <v>1191691.3846631623</v>
      </c>
      <c r="AD13" s="14">
        <v>42479</v>
      </c>
      <c r="AG13" s="12">
        <f t="shared" si="86"/>
        <v>28</v>
      </c>
      <c r="AH13" s="13">
        <f t="shared" si="0"/>
        <v>1534079.1607357031</v>
      </c>
      <c r="AI13" s="14">
        <v>42956</v>
      </c>
      <c r="AK13" s="12">
        <f t="shared" si="87"/>
        <v>35</v>
      </c>
      <c r="AL13" s="13">
        <f>($AM$2/(1+$AM$4*AK13/360))</f>
        <v>1386328.4349684268</v>
      </c>
      <c r="AM13" s="14">
        <v>42963</v>
      </c>
      <c r="AO13" s="12">
        <f t="shared" si="88"/>
        <v>33</v>
      </c>
      <c r="AP13" s="13">
        <f t="shared" si="5"/>
        <v>3650123.3672449468</v>
      </c>
      <c r="AQ13" s="14">
        <v>42966</v>
      </c>
      <c r="AS13" s="12">
        <f t="shared" si="89"/>
        <v>23</v>
      </c>
      <c r="AT13" s="13">
        <f t="shared" si="6"/>
        <v>1233168.8934531067</v>
      </c>
      <c r="AU13" s="14">
        <v>42966</v>
      </c>
      <c r="AW13" s="65">
        <f t="shared" si="90"/>
        <v>25</v>
      </c>
      <c r="AX13" s="13">
        <f t="shared" si="7"/>
        <v>696781.31591019966</v>
      </c>
      <c r="AY13" s="14">
        <v>42968</v>
      </c>
      <c r="BA13" s="65">
        <f t="shared" si="91"/>
        <v>22</v>
      </c>
      <c r="BB13" s="13">
        <f t="shared" si="8"/>
        <v>617538.67807875783</v>
      </c>
      <c r="BC13" s="14">
        <v>42968</v>
      </c>
      <c r="BE13" s="65">
        <f t="shared" si="92"/>
        <v>29</v>
      </c>
      <c r="BF13" s="13">
        <f t="shared" si="9"/>
        <v>1392276.8253395322</v>
      </c>
      <c r="BG13" s="14">
        <v>42969</v>
      </c>
      <c r="BI13" s="65">
        <f t="shared" si="93"/>
        <v>18</v>
      </c>
      <c r="BJ13" s="13">
        <f t="shared" si="10"/>
        <v>2488865.1790307853</v>
      </c>
      <c r="BK13" s="14">
        <v>42973</v>
      </c>
      <c r="BM13" s="65">
        <f t="shared" si="94"/>
        <v>47</v>
      </c>
      <c r="BN13" s="13">
        <f t="shared" si="11"/>
        <v>1862552.3791045975</v>
      </c>
      <c r="BO13" s="14">
        <v>42973</v>
      </c>
      <c r="BQ13" s="65">
        <f t="shared" si="95"/>
        <v>52</v>
      </c>
      <c r="BR13" s="13">
        <f t="shared" si="12"/>
        <v>4287208.388524659</v>
      </c>
      <c r="BS13" s="14">
        <v>42980</v>
      </c>
      <c r="BU13" s="65">
        <f t="shared" si="96"/>
        <v>21</v>
      </c>
      <c r="BV13" s="13">
        <f t="shared" si="13"/>
        <v>1610203.7609455341</v>
      </c>
      <c r="BW13" s="14">
        <v>42989</v>
      </c>
      <c r="BY13" s="65">
        <f t="shared" si="97"/>
        <v>21</v>
      </c>
      <c r="BZ13" s="13">
        <f t="shared" si="14"/>
        <v>1610203.7609455341</v>
      </c>
      <c r="CA13" s="14">
        <v>42989</v>
      </c>
      <c r="CC13" s="65">
        <f t="shared" si="98"/>
        <v>29</v>
      </c>
      <c r="CD13" s="13">
        <f t="shared" si="15"/>
        <v>1622325.5944037985</v>
      </c>
      <c r="CE13" s="14">
        <v>42990</v>
      </c>
      <c r="CG13" s="65">
        <f t="shared" si="99"/>
        <v>37</v>
      </c>
      <c r="CH13" s="13">
        <f t="shared" si="16"/>
        <v>972828.90699819312</v>
      </c>
      <c r="CI13" s="14">
        <v>42990</v>
      </c>
      <c r="CK13" s="65">
        <f t="shared" si="100"/>
        <v>61</v>
      </c>
      <c r="CL13" s="13">
        <f t="shared" si="17"/>
        <v>800174.79571810714</v>
      </c>
      <c r="CM13" s="14">
        <v>42994</v>
      </c>
      <c r="CO13" s="65">
        <f t="shared" si="101"/>
        <v>18</v>
      </c>
      <c r="CP13" s="13">
        <f t="shared" si="18"/>
        <v>1834327.2559547627</v>
      </c>
      <c r="CQ13" s="14">
        <v>42996</v>
      </c>
      <c r="CS13" s="65">
        <f t="shared" si="102"/>
        <v>14</v>
      </c>
      <c r="CT13" s="13">
        <f t="shared" si="19"/>
        <v>1595524.308374177</v>
      </c>
      <c r="CU13" s="14">
        <v>42996</v>
      </c>
      <c r="CW13" s="65">
        <f t="shared" si="103"/>
        <v>43</v>
      </c>
      <c r="CX13" s="13">
        <f t="shared" si="20"/>
        <v>2545683.6161520546</v>
      </c>
      <c r="CY13" s="14">
        <v>42998</v>
      </c>
      <c r="DA13" s="65">
        <f t="shared" si="104"/>
        <v>23</v>
      </c>
      <c r="DB13" s="13">
        <f t="shared" si="21"/>
        <v>2810631.9997312436</v>
      </c>
      <c r="DC13" s="14">
        <v>43003</v>
      </c>
      <c r="DE13" s="65">
        <f t="shared" si="105"/>
        <v>42</v>
      </c>
      <c r="DF13" s="13">
        <f t="shared" si="22"/>
        <v>3196967.8619716009</v>
      </c>
      <c r="DG13" s="14">
        <v>43004</v>
      </c>
      <c r="DI13" s="65">
        <f t="shared" si="106"/>
        <v>2</v>
      </c>
      <c r="DJ13" s="13">
        <f t="shared" si="23"/>
        <v>640825.89118543139</v>
      </c>
      <c r="DK13" s="14">
        <v>43004</v>
      </c>
      <c r="DM13" s="65">
        <f t="shared" si="107"/>
        <v>15</v>
      </c>
      <c r="DN13" s="13">
        <f t="shared" si="24"/>
        <v>784710.64471964736</v>
      </c>
      <c r="DO13" s="14">
        <v>43011</v>
      </c>
      <c r="DQ13" s="65">
        <f t="shared" si="108"/>
        <v>2</v>
      </c>
      <c r="DR13" s="13">
        <f t="shared" si="25"/>
        <v>640825.89118543139</v>
      </c>
      <c r="DS13" s="14">
        <v>43004</v>
      </c>
      <c r="DU13" s="65">
        <f t="shared" si="109"/>
        <v>87</v>
      </c>
      <c r="DV13" s="13">
        <f t="shared" si="26"/>
        <v>2328616.589823212</v>
      </c>
      <c r="DW13" s="14">
        <v>43015</v>
      </c>
      <c r="DY13" s="65">
        <f t="shared" si="110"/>
        <v>98</v>
      </c>
      <c r="DZ13" s="13">
        <f t="shared" si="27"/>
        <v>791407.0876558118</v>
      </c>
      <c r="EA13" s="14">
        <v>43018</v>
      </c>
      <c r="EC13" s="65">
        <f t="shared" si="111"/>
        <v>23</v>
      </c>
      <c r="ED13" s="13">
        <f t="shared" si="28"/>
        <v>1260660.8770635524</v>
      </c>
      <c r="EE13" s="14">
        <v>43019</v>
      </c>
      <c r="EG13" s="65">
        <f t="shared" si="112"/>
        <v>31</v>
      </c>
      <c r="EH13" s="13">
        <f t="shared" si="29"/>
        <v>1591124.0940291088</v>
      </c>
      <c r="EI13" s="14">
        <v>43024</v>
      </c>
      <c r="EK13" s="65">
        <f t="shared" si="113"/>
        <v>12</v>
      </c>
      <c r="EL13" s="13">
        <f t="shared" si="30"/>
        <v>968447.74585824343</v>
      </c>
      <c r="EM13" s="14">
        <v>43029</v>
      </c>
      <c r="EO13" s="65">
        <f t="shared" si="114"/>
        <v>72</v>
      </c>
      <c r="EP13" s="13">
        <f t="shared" si="31"/>
        <v>1278297.8110416816</v>
      </c>
      <c r="EQ13" s="14">
        <v>43030</v>
      </c>
      <c r="ES13" s="65">
        <f t="shared" si="115"/>
        <v>29</v>
      </c>
      <c r="ET13" s="13">
        <f t="shared" si="32"/>
        <v>1601790.2744714383</v>
      </c>
      <c r="EU13" s="14">
        <v>43030</v>
      </c>
      <c r="EW13" s="65">
        <f t="shared" si="116"/>
        <v>8</v>
      </c>
      <c r="EX13" s="13">
        <f t="shared" si="33"/>
        <v>2390854.4759583939</v>
      </c>
      <c r="EY13" s="14">
        <v>43031</v>
      </c>
      <c r="FA13" s="65">
        <f t="shared" si="117"/>
        <v>71</v>
      </c>
      <c r="FB13" s="13">
        <f t="shared" si="34"/>
        <v>1257869.1556981839</v>
      </c>
      <c r="FC13" s="14">
        <v>43037</v>
      </c>
      <c r="FE13" s="65">
        <f t="shared" si="118"/>
        <v>66</v>
      </c>
      <c r="FF13" s="13">
        <f t="shared" si="35"/>
        <v>3149045.3918600208</v>
      </c>
      <c r="FG13" s="14">
        <v>43037</v>
      </c>
      <c r="FI13" s="65">
        <f t="shared" si="119"/>
        <v>63</v>
      </c>
      <c r="FJ13" s="13">
        <f t="shared" si="36"/>
        <v>1738885.7168928008</v>
      </c>
      <c r="FK13" s="14">
        <v>43039</v>
      </c>
      <c r="FM13" s="65">
        <f t="shared" si="120"/>
        <v>29</v>
      </c>
      <c r="FN13" s="13">
        <f t="shared" si="37"/>
        <v>1139884.8631993292</v>
      </c>
      <c r="FO13" s="14">
        <v>43044</v>
      </c>
      <c r="FQ13" s="65">
        <f t="shared" si="121"/>
        <v>25</v>
      </c>
      <c r="FR13" s="13">
        <f t="shared" si="38"/>
        <v>1409078.2460695447</v>
      </c>
      <c r="FS13" s="14">
        <v>43044</v>
      </c>
      <c r="FU13" s="65">
        <f t="shared" si="122"/>
        <v>38</v>
      </c>
      <c r="FV13" s="13">
        <f t="shared" si="39"/>
        <v>1902792.3625519408</v>
      </c>
      <c r="FW13" s="14">
        <v>43046</v>
      </c>
      <c r="FY13" s="65">
        <f t="shared" si="123"/>
        <v>24</v>
      </c>
      <c r="FZ13" s="13">
        <f t="shared" si="40"/>
        <v>3942555.1186458538</v>
      </c>
      <c r="GA13" s="14">
        <v>43046</v>
      </c>
      <c r="GC13" s="65">
        <f t="shared" si="124"/>
        <v>28</v>
      </c>
      <c r="GD13" s="13">
        <f t="shared" si="41"/>
        <v>867118.61015606625</v>
      </c>
      <c r="GE13" s="14">
        <v>43047</v>
      </c>
      <c r="GG13" s="65">
        <f t="shared" si="125"/>
        <v>24</v>
      </c>
      <c r="GH13" s="13">
        <f t="shared" si="42"/>
        <v>2838616.5340184583</v>
      </c>
      <c r="GI13" s="14">
        <v>43051</v>
      </c>
      <c r="GK13" s="65">
        <f t="shared" si="126"/>
        <v>15</v>
      </c>
      <c r="GL13" s="13">
        <f t="shared" si="43"/>
        <v>946078.49741417763</v>
      </c>
      <c r="GM13" s="14">
        <v>43068</v>
      </c>
      <c r="GO13" s="65">
        <f t="shared" si="127"/>
        <v>25</v>
      </c>
      <c r="GP13" s="13">
        <f t="shared" si="44"/>
        <v>1256476.0006911198</v>
      </c>
      <c r="GQ13" s="14">
        <v>43071</v>
      </c>
      <c r="GS13" s="65">
        <f t="shared" si="128"/>
        <v>30</v>
      </c>
      <c r="GT13" s="13">
        <f t="shared" si="45"/>
        <v>1546860.6483037632</v>
      </c>
      <c r="GU13" s="14">
        <v>43074</v>
      </c>
      <c r="GW13" s="65">
        <f t="shared" si="129"/>
        <v>30</v>
      </c>
      <c r="GX13" s="13">
        <f t="shared" si="46"/>
        <v>921563.61829294811</v>
      </c>
      <c r="GY13" s="14">
        <v>43075</v>
      </c>
      <c r="HA13" s="65">
        <f t="shared" si="130"/>
        <v>30</v>
      </c>
      <c r="HB13" s="13">
        <f t="shared" si="47"/>
        <v>1536092.5921730855</v>
      </c>
      <c r="HC13" s="14">
        <v>43075</v>
      </c>
      <c r="HE13" s="65">
        <f t="shared" si="131"/>
        <v>25</v>
      </c>
      <c r="HF13" s="13">
        <f t="shared" si="48"/>
        <v>1100741.3352990996</v>
      </c>
      <c r="HG13" s="14">
        <v>43079</v>
      </c>
      <c r="HI13" s="65">
        <f t="shared" si="132"/>
        <v>4</v>
      </c>
      <c r="HJ13" s="13">
        <f t="shared" si="49"/>
        <v>763368.01699301554</v>
      </c>
      <c r="HK13" s="14">
        <v>43080</v>
      </c>
      <c r="HM13" s="65">
        <f t="shared" si="133"/>
        <v>3</v>
      </c>
      <c r="HN13" s="13">
        <f t="shared" si="50"/>
        <v>1374176.9127315262</v>
      </c>
      <c r="HO13" s="14">
        <v>43080</v>
      </c>
      <c r="HQ13" s="65">
        <f t="shared" si="134"/>
        <v>27</v>
      </c>
      <c r="HR13" s="13">
        <f t="shared" si="51"/>
        <v>3041710.6136894478</v>
      </c>
      <c r="HS13" s="14">
        <v>43081</v>
      </c>
      <c r="HU13" s="65">
        <f t="shared" si="135"/>
        <v>3</v>
      </c>
      <c r="HV13" s="13">
        <f t="shared" si="52"/>
        <v>1524128.9820996444</v>
      </c>
      <c r="HW13" s="14">
        <v>43085</v>
      </c>
      <c r="HY13" s="65">
        <f t="shared" si="136"/>
        <v>4</v>
      </c>
      <c r="HZ13" s="13">
        <f t="shared" si="53"/>
        <v>1524048.3673603083</v>
      </c>
      <c r="IA13" s="14">
        <v>43085</v>
      </c>
      <c r="IC13" s="65">
        <f t="shared" si="137"/>
        <v>5</v>
      </c>
      <c r="ID13" s="13">
        <f t="shared" si="54"/>
        <v>1219392.1110096248</v>
      </c>
      <c r="IE13" s="14">
        <v>43086</v>
      </c>
      <c r="IG13" s="65">
        <f t="shared" si="138"/>
        <v>28</v>
      </c>
      <c r="IH13" s="13">
        <f t="shared" si="55"/>
        <v>1283179.5518689726</v>
      </c>
      <c r="II13" s="14">
        <v>43096</v>
      </c>
      <c r="IK13" s="65">
        <f t="shared" si="139"/>
        <v>36</v>
      </c>
      <c r="IL13" s="13">
        <f t="shared" si="56"/>
        <v>2579181.5140960845</v>
      </c>
      <c r="IM13" s="14">
        <v>43100</v>
      </c>
      <c r="IO13" s="65">
        <f t="shared" si="140"/>
        <v>28</v>
      </c>
      <c r="IP13" s="13">
        <f t="shared" si="57"/>
        <v>1133718.2971341871</v>
      </c>
      <c r="IQ13" s="14">
        <v>43101</v>
      </c>
      <c r="IS13" s="65">
        <f t="shared" si="141"/>
        <v>25</v>
      </c>
      <c r="IT13" s="13">
        <f t="shared" si="58"/>
        <v>1488178.8446675213</v>
      </c>
      <c r="IU13" s="14">
        <v>43107</v>
      </c>
      <c r="IW13" s="65">
        <f t="shared" si="142"/>
        <v>29</v>
      </c>
      <c r="IX13" s="13">
        <f t="shared" si="59"/>
        <v>1643672.562427883</v>
      </c>
      <c r="IY13" s="14">
        <v>43107</v>
      </c>
      <c r="JA13" s="65">
        <f t="shared" si="143"/>
        <v>53</v>
      </c>
      <c r="JB13" s="13">
        <f t="shared" si="60"/>
        <v>985977.64014834445</v>
      </c>
      <c r="JC13" s="14">
        <v>43113</v>
      </c>
      <c r="JE13" s="65">
        <f t="shared" si="144"/>
        <v>36</v>
      </c>
      <c r="JF13" s="13">
        <f t="shared" si="61"/>
        <v>1480873.5611321153</v>
      </c>
      <c r="JG13" s="14">
        <v>43124</v>
      </c>
      <c r="JI13" s="65">
        <f t="shared" si="145"/>
        <v>15</v>
      </c>
      <c r="JJ13" s="13">
        <f t="shared" si="62"/>
        <v>993001.2426057345</v>
      </c>
      <c r="JK13" s="14">
        <v>43129</v>
      </c>
      <c r="JM13" s="65">
        <f t="shared" si="146"/>
        <v>24</v>
      </c>
      <c r="JN13" s="13">
        <f t="shared" si="63"/>
        <v>992354.72483208671</v>
      </c>
      <c r="JO13" s="14">
        <v>43129</v>
      </c>
      <c r="JQ13" s="65">
        <f t="shared" si="147"/>
        <v>30</v>
      </c>
      <c r="JR13" s="13">
        <f t="shared" si="64"/>
        <v>1498917.2428254869</v>
      </c>
      <c r="JS13" s="14">
        <v>43130</v>
      </c>
      <c r="JU13" s="65">
        <f t="shared" si="148"/>
        <v>58</v>
      </c>
      <c r="JV13" s="13">
        <f t="shared" si="65"/>
        <v>1649546.5294919584</v>
      </c>
      <c r="JW13" s="14">
        <v>43135</v>
      </c>
      <c r="JY13" s="65">
        <f t="shared" si="149"/>
        <v>36</v>
      </c>
      <c r="JZ13" s="13">
        <f t="shared" si="66"/>
        <v>1480873.5611321153</v>
      </c>
      <c r="KA13" s="14">
        <v>43124</v>
      </c>
      <c r="KC13" s="65">
        <f t="shared" si="150"/>
        <v>15</v>
      </c>
      <c r="KD13" s="13">
        <f t="shared" si="67"/>
        <v>993001.2426057345</v>
      </c>
      <c r="KE13" s="14">
        <v>43129</v>
      </c>
      <c r="KG13" s="65">
        <f t="shared" si="151"/>
        <v>24</v>
      </c>
      <c r="KH13" s="13">
        <f t="shared" si="68"/>
        <v>992354.72483208671</v>
      </c>
      <c r="KI13" s="14">
        <v>43129</v>
      </c>
      <c r="KK13" s="65">
        <f t="shared" si="152"/>
        <v>30</v>
      </c>
      <c r="KL13" s="13">
        <f t="shared" si="69"/>
        <v>1498917.2428254869</v>
      </c>
      <c r="KM13" s="14">
        <v>43130</v>
      </c>
      <c r="KO13" s="65">
        <f t="shared" si="153"/>
        <v>19</v>
      </c>
      <c r="KP13" s="13">
        <f t="shared" si="70"/>
        <v>3312355.5948823984</v>
      </c>
      <c r="KQ13" s="14">
        <v>43173</v>
      </c>
      <c r="KS13" s="65">
        <f t="shared" si="154"/>
        <v>46</v>
      </c>
      <c r="KT13" s="13">
        <f t="shared" si="71"/>
        <v>3302710.2832273995</v>
      </c>
      <c r="KU13" s="14">
        <v>43176</v>
      </c>
      <c r="KW13" s="65">
        <f t="shared" si="155"/>
        <v>37</v>
      </c>
      <c r="KX13" s="13">
        <f t="shared" si="72"/>
        <v>2984670.2647567629</v>
      </c>
      <c r="KY13" s="14">
        <v>43178</v>
      </c>
      <c r="LA13" s="65">
        <f t="shared" si="156"/>
        <v>74</v>
      </c>
      <c r="LB13" s="13">
        <f t="shared" si="73"/>
        <v>2627537.3689719322</v>
      </c>
      <c r="LC13" s="14">
        <v>43190</v>
      </c>
      <c r="LE13" s="65">
        <f t="shared" si="157"/>
        <v>15</v>
      </c>
      <c r="LF13" s="13">
        <f t="shared" si="74"/>
        <v>994013.87964660348</v>
      </c>
      <c r="LG13" s="14">
        <v>43193</v>
      </c>
      <c r="LI13" s="65">
        <f t="shared" si="158"/>
        <v>34</v>
      </c>
      <c r="LJ13" s="13">
        <f t="shared" si="75"/>
        <v>2481322.6681703478</v>
      </c>
      <c r="LK13" s="14">
        <v>43197</v>
      </c>
      <c r="LM13" s="65">
        <f t="shared" si="159"/>
        <v>62</v>
      </c>
      <c r="LN13" s="13">
        <f t="shared" si="76"/>
        <v>742884.57494945114</v>
      </c>
      <c r="LO13" s="14">
        <v>43200</v>
      </c>
      <c r="LQ13" s="65">
        <f t="shared" si="160"/>
        <v>31</v>
      </c>
      <c r="LR13" s="13">
        <f t="shared" si="77"/>
        <v>2772950.1818943569</v>
      </c>
      <c r="LS13" s="14">
        <v>43213</v>
      </c>
      <c r="LU13" s="65">
        <f t="shared" si="161"/>
        <v>9</v>
      </c>
      <c r="LV13" s="13">
        <f t="shared" si="78"/>
        <v>832248.8762151968</v>
      </c>
      <c r="LW13" s="14">
        <v>43218</v>
      </c>
      <c r="LY13" s="65">
        <f t="shared" si="162"/>
        <v>34</v>
      </c>
      <c r="LZ13" s="13">
        <f t="shared" si="79"/>
        <v>974741.88275721669</v>
      </c>
      <c r="MA13" s="14">
        <v>43225</v>
      </c>
      <c r="MC13" s="65">
        <f t="shared" si="163"/>
        <v>29</v>
      </c>
      <c r="MD13" s="13">
        <f t="shared" si="80"/>
        <v>2862163.3714070986</v>
      </c>
      <c r="ME13" s="14">
        <v>43227</v>
      </c>
      <c r="MG13" s="65">
        <f t="shared" si="164"/>
        <v>24</v>
      </c>
      <c r="MH13" s="13">
        <f t="shared" si="81"/>
        <v>1771198.2315344485</v>
      </c>
      <c r="MI13" s="14">
        <v>43228</v>
      </c>
      <c r="MK13" s="65">
        <f t="shared" si="165"/>
        <v>18</v>
      </c>
      <c r="ML13" s="13">
        <f t="shared" si="82"/>
        <v>1581616.9995721793</v>
      </c>
      <c r="MM13" s="14">
        <v>43234</v>
      </c>
      <c r="MO13" s="65">
        <f t="shared" si="166"/>
        <v>15</v>
      </c>
      <c r="MP13" s="13">
        <f t="shared" si="83"/>
        <v>1454841.9533595415</v>
      </c>
      <c r="MQ13" s="14">
        <v>43236</v>
      </c>
      <c r="MS13" s="65">
        <f t="shared" si="167"/>
        <v>16</v>
      </c>
      <c r="MT13" s="13">
        <f t="shared" si="84"/>
        <v>1440694.112790375</v>
      </c>
      <c r="MU13" s="14">
        <v>43239</v>
      </c>
    </row>
    <row r="14" spans="1:359" x14ac:dyDescent="0.25">
      <c r="A14" s="15">
        <f t="shared" si="1"/>
        <v>731459.4261565943</v>
      </c>
      <c r="B14" s="20">
        <v>42708</v>
      </c>
      <c r="D14" s="12">
        <v>162</v>
      </c>
      <c r="E14" s="17">
        <v>1139757.4887546091</v>
      </c>
      <c r="F14" s="14">
        <v>42438</v>
      </c>
      <c r="I14" s="12">
        <v>27</v>
      </c>
      <c r="J14" s="17">
        <v>1191705.6334547047</v>
      </c>
      <c r="K14" s="14">
        <v>42480</v>
      </c>
      <c r="N14" s="12">
        <f t="shared" si="85"/>
        <v>92</v>
      </c>
      <c r="O14" s="13">
        <f t="shared" si="2"/>
        <v>731459.4261565943</v>
      </c>
      <c r="P14" s="14">
        <v>42708</v>
      </c>
      <c r="T14" s="15">
        <f t="shared" si="3"/>
        <v>1534157.9031258759</v>
      </c>
      <c r="U14" s="20">
        <v>42957</v>
      </c>
      <c r="W14" s="12">
        <v>162</v>
      </c>
      <c r="X14" s="17">
        <v>1139757.4887546091</v>
      </c>
      <c r="Y14" s="14">
        <v>42438</v>
      </c>
      <c r="AB14" s="12">
        <v>27</v>
      </c>
      <c r="AC14" s="17">
        <v>1191705.6334547047</v>
      </c>
      <c r="AD14" s="14">
        <v>42480</v>
      </c>
      <c r="AG14" s="12">
        <f t="shared" si="86"/>
        <v>27</v>
      </c>
      <c r="AH14" s="13">
        <f t="shared" si="0"/>
        <v>1534157.9031258759</v>
      </c>
      <c r="AI14" s="14">
        <v>42957</v>
      </c>
      <c r="AK14" s="12">
        <f t="shared" si="87"/>
        <v>34</v>
      </c>
      <c r="AL14" s="13">
        <f t="shared" si="4"/>
        <v>1386397.7987792324</v>
      </c>
      <c r="AM14" s="14">
        <v>42964</v>
      </c>
      <c r="AO14" s="12">
        <f t="shared" si="88"/>
        <v>32</v>
      </c>
      <c r="AP14" s="13">
        <f t="shared" si="5"/>
        <v>3650322.2496911385</v>
      </c>
      <c r="AQ14" s="14">
        <v>42967</v>
      </c>
      <c r="AS14" s="12">
        <f t="shared" si="89"/>
        <v>22</v>
      </c>
      <c r="AT14" s="13">
        <f t="shared" si="6"/>
        <v>1233242.878767122</v>
      </c>
      <c r="AU14" s="14">
        <v>42967</v>
      </c>
      <c r="AW14" s="65">
        <f t="shared" si="90"/>
        <v>24</v>
      </c>
      <c r="AX14" s="13">
        <f t="shared" si="7"/>
        <v>696818.29086102685</v>
      </c>
      <c r="AY14" s="14">
        <v>42969</v>
      </c>
      <c r="BA14" s="65">
        <f t="shared" si="91"/>
        <v>21</v>
      </c>
      <c r="BB14" s="13">
        <f t="shared" si="8"/>
        <v>617575.63295851706</v>
      </c>
      <c r="BC14" s="14">
        <v>42969</v>
      </c>
      <c r="BE14" s="65">
        <f t="shared" si="92"/>
        <v>28</v>
      </c>
      <c r="BF14" s="13">
        <f t="shared" si="9"/>
        <v>1392356.5337780882</v>
      </c>
      <c r="BG14" s="14">
        <v>42970</v>
      </c>
      <c r="BI14" s="65">
        <f t="shared" si="93"/>
        <v>17</v>
      </c>
      <c r="BJ14" s="13">
        <f t="shared" si="10"/>
        <v>2488997.0907721408</v>
      </c>
      <c r="BK14" s="14">
        <v>42974</v>
      </c>
      <c r="BM14" s="65">
        <f t="shared" si="94"/>
        <v>46</v>
      </c>
      <c r="BN14" s="13">
        <f t="shared" si="11"/>
        <v>1862651.240399888</v>
      </c>
      <c r="BO14" s="14">
        <v>42974</v>
      </c>
      <c r="BQ14" s="65">
        <f t="shared" si="95"/>
        <v>51</v>
      </c>
      <c r="BR14" s="13">
        <f t="shared" si="12"/>
        <v>4287507.3332488099</v>
      </c>
      <c r="BS14" s="14">
        <v>42981</v>
      </c>
      <c r="BU14" s="65">
        <f t="shared" si="96"/>
        <v>20</v>
      </c>
      <c r="BV14" s="13">
        <f t="shared" si="13"/>
        <v>1610277.7708986134</v>
      </c>
      <c r="BW14" s="14">
        <v>42990</v>
      </c>
      <c r="BY14" s="65">
        <f t="shared" si="97"/>
        <v>20</v>
      </c>
      <c r="BZ14" s="13">
        <f t="shared" si="14"/>
        <v>1610277.7708986134</v>
      </c>
      <c r="CA14" s="14">
        <v>42990</v>
      </c>
      <c r="CC14" s="65">
        <f t="shared" si="98"/>
        <v>28</v>
      </c>
      <c r="CD14" s="13">
        <f t="shared" si="15"/>
        <v>1622396.3037710104</v>
      </c>
      <c r="CE14" s="14">
        <v>42991</v>
      </c>
      <c r="CG14" s="65">
        <f t="shared" si="99"/>
        <v>36</v>
      </c>
      <c r="CH14" s="13">
        <f t="shared" si="16"/>
        <v>972871.87978423922</v>
      </c>
      <c r="CI14" s="14">
        <v>42991</v>
      </c>
      <c r="CK14" s="65">
        <f t="shared" si="100"/>
        <v>60</v>
      </c>
      <c r="CL14" s="13">
        <f t="shared" si="17"/>
        <v>800212.4474888246</v>
      </c>
      <c r="CM14" s="14">
        <v>42995</v>
      </c>
      <c r="CO14" s="65">
        <f t="shared" si="101"/>
        <v>17</v>
      </c>
      <c r="CP14" s="13">
        <f t="shared" si="18"/>
        <v>1834399.2420918215</v>
      </c>
      <c r="CQ14" s="14">
        <v>42997</v>
      </c>
      <c r="CS14" s="65">
        <f t="shared" si="102"/>
        <v>13</v>
      </c>
      <c r="CT14" s="13">
        <f t="shared" si="19"/>
        <v>1595584.9018528752</v>
      </c>
      <c r="CU14" s="14">
        <v>42997</v>
      </c>
      <c r="CW14" s="65">
        <f t="shared" si="103"/>
        <v>42</v>
      </c>
      <c r="CX14" s="13">
        <f t="shared" si="20"/>
        <v>2545797.1117345546</v>
      </c>
      <c r="CY14" s="14">
        <v>42999</v>
      </c>
      <c r="DA14" s="65">
        <f t="shared" si="104"/>
        <v>22</v>
      </c>
      <c r="DB14" s="13">
        <f t="shared" si="21"/>
        <v>2810758.7459621546</v>
      </c>
      <c r="DC14" s="14">
        <v>43004</v>
      </c>
      <c r="DE14" s="65">
        <f t="shared" si="105"/>
        <v>41</v>
      </c>
      <c r="DF14" s="13">
        <f t="shared" si="22"/>
        <v>3197125.1667927317</v>
      </c>
      <c r="DG14" s="14">
        <v>43005</v>
      </c>
      <c r="DI14" s="65">
        <f t="shared" si="106"/>
        <v>1</v>
      </c>
      <c r="DJ14" s="13">
        <f t="shared" si="23"/>
        <v>640848.73630797607</v>
      </c>
      <c r="DK14" s="14">
        <v>43005</v>
      </c>
      <c r="DM14" s="65">
        <f t="shared" si="107"/>
        <v>14</v>
      </c>
      <c r="DN14" s="13">
        <f t="shared" si="24"/>
        <v>784749.03292802547</v>
      </c>
      <c r="DO14" s="14">
        <v>43012</v>
      </c>
      <c r="DQ14" s="65">
        <f t="shared" si="108"/>
        <v>1</v>
      </c>
      <c r="DR14" s="13">
        <f t="shared" si="25"/>
        <v>640848.73630797607</v>
      </c>
      <c r="DS14" s="14">
        <v>43005</v>
      </c>
      <c r="DU14" s="65">
        <f t="shared" si="109"/>
        <v>86</v>
      </c>
      <c r="DV14" s="13">
        <f t="shared" si="26"/>
        <v>2328731.2476513977</v>
      </c>
      <c r="DW14" s="14">
        <v>43016</v>
      </c>
      <c r="DY14" s="65">
        <f t="shared" si="110"/>
        <v>97</v>
      </c>
      <c r="DZ14" s="13">
        <f t="shared" si="27"/>
        <v>791448.45415615931</v>
      </c>
      <c r="EA14" s="14">
        <v>43019</v>
      </c>
      <c r="EC14" s="65">
        <f t="shared" si="111"/>
        <v>22</v>
      </c>
      <c r="ED14" s="13">
        <f t="shared" si="28"/>
        <v>1260722.0142605999</v>
      </c>
      <c r="EE14" s="14">
        <v>43020</v>
      </c>
      <c r="EG14" s="65">
        <f t="shared" si="112"/>
        <v>30</v>
      </c>
      <c r="EH14" s="13">
        <f t="shared" si="29"/>
        <v>1591209.5623720062</v>
      </c>
      <c r="EI14" s="14">
        <v>43025</v>
      </c>
      <c r="EK14" s="65">
        <f t="shared" si="113"/>
        <v>11</v>
      </c>
      <c r="EL14" s="13">
        <f t="shared" si="30"/>
        <v>968495.7032747328</v>
      </c>
      <c r="EM14" s="14">
        <v>43030</v>
      </c>
      <c r="EO14" s="65">
        <f t="shared" si="114"/>
        <v>71</v>
      </c>
      <c r="EP14" s="13">
        <f t="shared" si="31"/>
        <v>1278372.489417186</v>
      </c>
      <c r="EQ14" s="14">
        <v>43031</v>
      </c>
      <c r="ES14" s="65">
        <f t="shared" si="115"/>
        <v>28</v>
      </c>
      <c r="ET14" s="13">
        <f t="shared" si="32"/>
        <v>1601883.3057737448</v>
      </c>
      <c r="EU14" s="14">
        <v>43031</v>
      </c>
      <c r="EW14" s="65">
        <f t="shared" si="116"/>
        <v>7</v>
      </c>
      <c r="EX14" s="13">
        <f t="shared" si="33"/>
        <v>2390950.1100967485</v>
      </c>
      <c r="EY14" s="14">
        <v>43032</v>
      </c>
      <c r="FA14" s="65">
        <f t="shared" si="117"/>
        <v>70</v>
      </c>
      <c r="FB14" s="13">
        <f t="shared" si="34"/>
        <v>1257943.9875391971</v>
      </c>
      <c r="FC14" s="14">
        <v>43038</v>
      </c>
      <c r="FE14" s="65">
        <f t="shared" si="118"/>
        <v>65</v>
      </c>
      <c r="FF14" s="13">
        <f t="shared" si="35"/>
        <v>3149221.4272557604</v>
      </c>
      <c r="FG14" s="14">
        <v>43038</v>
      </c>
      <c r="FI14" s="65">
        <f t="shared" si="119"/>
        <v>62</v>
      </c>
      <c r="FJ14" s="13">
        <f t="shared" si="36"/>
        <v>1738991.7070196229</v>
      </c>
      <c r="FK14" s="14">
        <v>43040</v>
      </c>
      <c r="FM14" s="65">
        <f t="shared" si="120"/>
        <v>28</v>
      </c>
      <c r="FN14" s="13">
        <f t="shared" si="37"/>
        <v>1139952.515921952</v>
      </c>
      <c r="FO14" s="14">
        <v>43045</v>
      </c>
      <c r="FQ14" s="65">
        <f t="shared" si="121"/>
        <v>24</v>
      </c>
      <c r="FR14" s="13">
        <f t="shared" si="38"/>
        <v>1409160.7962902647</v>
      </c>
      <c r="FS14" s="14">
        <v>43045</v>
      </c>
      <c r="FU14" s="65">
        <f t="shared" si="122"/>
        <v>37</v>
      </c>
      <c r="FV14" s="13">
        <f t="shared" si="39"/>
        <v>1902904.9790392749</v>
      </c>
      <c r="FW14" s="14">
        <v>43047</v>
      </c>
      <c r="FY14" s="65">
        <f t="shared" si="123"/>
        <v>23</v>
      </c>
      <c r="FZ14" s="13">
        <f t="shared" si="40"/>
        <v>3942777.0292924959</v>
      </c>
      <c r="GA14" s="14">
        <v>43047</v>
      </c>
      <c r="GC14" s="65">
        <f t="shared" si="124"/>
        <v>27</v>
      </c>
      <c r="GD14" s="13">
        <f t="shared" si="41"/>
        <v>867167.17450133373</v>
      </c>
      <c r="GE14" s="14">
        <v>43048</v>
      </c>
      <c r="GG14" s="65">
        <f t="shared" si="125"/>
        <v>23</v>
      </c>
      <c r="GH14" s="13">
        <f t="shared" si="42"/>
        <v>2838771.6756801181</v>
      </c>
      <c r="GI14" s="14">
        <v>43052</v>
      </c>
      <c r="GK14" s="65">
        <f t="shared" si="126"/>
        <v>14</v>
      </c>
      <c r="GL14" s="13">
        <f t="shared" si="43"/>
        <v>946147.80534784286</v>
      </c>
      <c r="GM14" s="14">
        <v>43069</v>
      </c>
      <c r="GO14" s="65">
        <f t="shared" si="127"/>
        <v>24</v>
      </c>
      <c r="GP14" s="13">
        <f t="shared" si="44"/>
        <v>1256578.7352045437</v>
      </c>
      <c r="GQ14" s="14">
        <v>43072</v>
      </c>
      <c r="GS14" s="65">
        <f t="shared" si="128"/>
        <v>29</v>
      </c>
      <c r="GT14" s="13">
        <f t="shared" si="45"/>
        <v>1546985.1340444742</v>
      </c>
      <c r="GU14" s="14">
        <v>43075</v>
      </c>
      <c r="GW14" s="65">
        <f t="shared" si="129"/>
        <v>29</v>
      </c>
      <c r="GX14" s="13">
        <f t="shared" si="46"/>
        <v>921634.74487372837</v>
      </c>
      <c r="GY14" s="14">
        <v>43076</v>
      </c>
      <c r="HA14" s="65">
        <f t="shared" si="130"/>
        <v>29</v>
      </c>
      <c r="HB14" s="13">
        <f t="shared" si="47"/>
        <v>1536206.0508670672</v>
      </c>
      <c r="HC14" s="14">
        <v>43076</v>
      </c>
      <c r="HE14" s="65">
        <f t="shared" si="131"/>
        <v>24</v>
      </c>
      <c r="HF14" s="13">
        <f t="shared" si="48"/>
        <v>1100824.4479949668</v>
      </c>
      <c r="HG14" s="14">
        <v>43080</v>
      </c>
      <c r="HI14" s="65">
        <f t="shared" si="132"/>
        <v>3</v>
      </c>
      <c r="HJ14" s="13">
        <f t="shared" si="49"/>
        <v>763423.98500129976</v>
      </c>
      <c r="HK14" s="14">
        <v>43081</v>
      </c>
      <c r="HM14" s="65">
        <f t="shared" si="133"/>
        <v>2</v>
      </c>
      <c r="HN14" s="13">
        <f t="shared" si="50"/>
        <v>1374273.0916503686</v>
      </c>
      <c r="HO14" s="14">
        <v>43081</v>
      </c>
      <c r="HQ14" s="65">
        <f t="shared" si="134"/>
        <v>26</v>
      </c>
      <c r="HR14" s="13">
        <f t="shared" si="51"/>
        <v>3041983.8716399232</v>
      </c>
      <c r="HS14" s="14">
        <v>43082</v>
      </c>
      <c r="HU14" s="65">
        <f t="shared" si="135"/>
        <v>2</v>
      </c>
      <c r="HV14" s="13">
        <f t="shared" si="52"/>
        <v>1524239.2924016661</v>
      </c>
      <c r="HW14" s="14">
        <v>43086</v>
      </c>
      <c r="HY14" s="65">
        <f t="shared" si="136"/>
        <v>3</v>
      </c>
      <c r="HZ14" s="13">
        <f t="shared" si="53"/>
        <v>1524162.8604163781</v>
      </c>
      <c r="IA14" s="14">
        <v>43086</v>
      </c>
      <c r="IC14" s="65">
        <f t="shared" si="137"/>
        <v>4</v>
      </c>
      <c r="ID14" s="13">
        <f t="shared" si="54"/>
        <v>1219538.813031289</v>
      </c>
      <c r="IE14" s="14">
        <v>43087</v>
      </c>
      <c r="IG14" s="65">
        <f t="shared" si="138"/>
        <v>27</v>
      </c>
      <c r="IH14" s="13">
        <f t="shared" si="55"/>
        <v>1283286.2434422548</v>
      </c>
      <c r="II14" s="14">
        <v>43097</v>
      </c>
      <c r="IK14" s="65">
        <f t="shared" si="139"/>
        <v>35</v>
      </c>
      <c r="IL14" s="13">
        <f t="shared" si="56"/>
        <v>2579398.8647581385</v>
      </c>
      <c r="IM14" s="14">
        <v>43101</v>
      </c>
      <c r="IO14" s="65">
        <f t="shared" si="140"/>
        <v>27</v>
      </c>
      <c r="IP14" s="13">
        <f t="shared" si="57"/>
        <v>1133812.561563981</v>
      </c>
      <c r="IQ14" s="14">
        <v>43102</v>
      </c>
      <c r="IS14" s="65">
        <f t="shared" si="141"/>
        <v>24</v>
      </c>
      <c r="IT14" s="13">
        <f t="shared" si="58"/>
        <v>1488272.3948723553</v>
      </c>
      <c r="IU14" s="14">
        <v>43108</v>
      </c>
      <c r="IW14" s="65">
        <f t="shared" si="142"/>
        <v>28</v>
      </c>
      <c r="IX14" s="13">
        <f t="shared" si="59"/>
        <v>1643774.4567991169</v>
      </c>
      <c r="IY14" s="14">
        <v>43108</v>
      </c>
      <c r="JA14" s="65">
        <f t="shared" si="143"/>
        <v>52</v>
      </c>
      <c r="JB14" s="13">
        <f t="shared" si="60"/>
        <v>986030.01286415732</v>
      </c>
      <c r="JC14" s="14">
        <v>43114</v>
      </c>
      <c r="JE14" s="65">
        <f t="shared" si="144"/>
        <v>35</v>
      </c>
      <c r="JF14" s="13">
        <f t="shared" si="61"/>
        <v>1480949.3306120518</v>
      </c>
      <c r="JG14" s="14">
        <v>43125</v>
      </c>
      <c r="JI14" s="65">
        <f t="shared" si="145"/>
        <v>14</v>
      </c>
      <c r="JJ14" s="13">
        <f t="shared" si="62"/>
        <v>993052.61306707561</v>
      </c>
      <c r="JK14" s="14">
        <v>43130</v>
      </c>
      <c r="JM14" s="65">
        <f t="shared" si="146"/>
        <v>23</v>
      </c>
      <c r="JN14" s="13">
        <f t="shared" si="63"/>
        <v>992407.55666935642</v>
      </c>
      <c r="JO14" s="14">
        <v>43130</v>
      </c>
      <c r="JQ14" s="65">
        <f t="shared" si="147"/>
        <v>29</v>
      </c>
      <c r="JR14" s="13">
        <f t="shared" si="64"/>
        <v>1499004.0735601895</v>
      </c>
      <c r="JS14" s="14">
        <v>43131</v>
      </c>
      <c r="JU14" s="65">
        <f t="shared" si="148"/>
        <v>57</v>
      </c>
      <c r="JV14" s="13">
        <f t="shared" si="65"/>
        <v>1649648.6773291596</v>
      </c>
      <c r="JW14" s="14">
        <v>43136</v>
      </c>
      <c r="JY14" s="65">
        <f t="shared" si="149"/>
        <v>35</v>
      </c>
      <c r="JZ14" s="13">
        <f t="shared" si="66"/>
        <v>1480949.3306120518</v>
      </c>
      <c r="KA14" s="14">
        <v>43125</v>
      </c>
      <c r="KC14" s="65">
        <f t="shared" si="150"/>
        <v>14</v>
      </c>
      <c r="KD14" s="13">
        <f t="shared" si="67"/>
        <v>993052.61306707561</v>
      </c>
      <c r="KE14" s="14">
        <v>43130</v>
      </c>
      <c r="KG14" s="65">
        <f t="shared" si="151"/>
        <v>23</v>
      </c>
      <c r="KH14" s="13">
        <f t="shared" si="68"/>
        <v>992407.55666935642</v>
      </c>
      <c r="KI14" s="14">
        <v>43130</v>
      </c>
      <c r="KK14" s="65">
        <f t="shared" si="152"/>
        <v>29</v>
      </c>
      <c r="KL14" s="13">
        <f t="shared" si="69"/>
        <v>1499004.0735601895</v>
      </c>
      <c r="KM14" s="14">
        <v>43131</v>
      </c>
      <c r="KO14" s="65">
        <f t="shared" si="153"/>
        <v>18</v>
      </c>
      <c r="KP14" s="13">
        <f t="shared" si="70"/>
        <v>3312589.4548832867</v>
      </c>
      <c r="KQ14" s="14">
        <v>43174</v>
      </c>
      <c r="KS14" s="65">
        <f t="shared" si="154"/>
        <v>45</v>
      </c>
      <c r="KT14" s="13">
        <f t="shared" si="71"/>
        <v>3302921.727063159</v>
      </c>
      <c r="KU14" s="14">
        <v>43177</v>
      </c>
      <c r="KW14" s="65">
        <f t="shared" si="155"/>
        <v>36</v>
      </c>
      <c r="KX14" s="13">
        <f t="shared" si="72"/>
        <v>2984855.0883530336</v>
      </c>
      <c r="KY14" s="14">
        <v>43179</v>
      </c>
      <c r="LA14" s="65">
        <f t="shared" si="156"/>
        <v>73</v>
      </c>
      <c r="LB14" s="13">
        <f t="shared" si="73"/>
        <v>2627737.6923603234</v>
      </c>
      <c r="LC14" s="14">
        <v>43191</v>
      </c>
      <c r="LE14" s="65">
        <f t="shared" si="157"/>
        <v>14</v>
      </c>
      <c r="LF14" s="13">
        <f t="shared" si="74"/>
        <v>994103.17568080255</v>
      </c>
      <c r="LG14" s="14">
        <v>43194</v>
      </c>
      <c r="LI14" s="65">
        <f t="shared" si="158"/>
        <v>33</v>
      </c>
      <c r="LJ14" s="13">
        <f t="shared" si="75"/>
        <v>2481493.6624771329</v>
      </c>
      <c r="LK14" s="14">
        <v>43198</v>
      </c>
      <c r="LM14" s="65">
        <f t="shared" si="159"/>
        <v>61</v>
      </c>
      <c r="LN14" s="13">
        <f t="shared" si="76"/>
        <v>742937.52857721574</v>
      </c>
      <c r="LO14" s="14">
        <v>43201</v>
      </c>
      <c r="LQ14" s="65">
        <f t="shared" si="160"/>
        <v>30</v>
      </c>
      <c r="LR14" s="13">
        <f t="shared" si="77"/>
        <v>2773128.2008179892</v>
      </c>
      <c r="LS14" s="14">
        <v>43214</v>
      </c>
      <c r="LU14" s="65">
        <f t="shared" si="161"/>
        <v>8</v>
      </c>
      <c r="LV14" s="13">
        <f t="shared" si="78"/>
        <v>832306.11106519087</v>
      </c>
      <c r="LW14" s="14">
        <v>43219</v>
      </c>
      <c r="LY14" s="65">
        <f t="shared" si="162"/>
        <v>33</v>
      </c>
      <c r="LZ14" s="13">
        <f t="shared" si="79"/>
        <v>974807.91013325821</v>
      </c>
      <c r="MA14" s="14">
        <v>43226</v>
      </c>
      <c r="MC14" s="65">
        <f t="shared" si="163"/>
        <v>28</v>
      </c>
      <c r="MD14" s="13">
        <f t="shared" si="80"/>
        <v>2862345.6793354522</v>
      </c>
      <c r="ME14" s="14">
        <v>43228</v>
      </c>
      <c r="MG14" s="65">
        <f t="shared" si="164"/>
        <v>23</v>
      </c>
      <c r="MH14" s="13">
        <f t="shared" si="81"/>
        <v>1771318.080479396</v>
      </c>
      <c r="MI14" s="14">
        <v>43229</v>
      </c>
      <c r="MK14" s="65">
        <f t="shared" si="165"/>
        <v>17</v>
      </c>
      <c r="ML14" s="13">
        <f t="shared" si="82"/>
        <v>1581719.0569842344</v>
      </c>
      <c r="MM14" s="14">
        <v>43235</v>
      </c>
      <c r="MO14" s="65">
        <f t="shared" si="166"/>
        <v>14</v>
      </c>
      <c r="MP14" s="13">
        <f t="shared" si="83"/>
        <v>1454955.4571385791</v>
      </c>
      <c r="MQ14" s="14">
        <v>43237</v>
      </c>
      <c r="MS14" s="65">
        <f t="shared" si="167"/>
        <v>15</v>
      </c>
      <c r="MT14" s="13">
        <f t="shared" si="84"/>
        <v>1440794.8555983219</v>
      </c>
      <c r="MU14" s="14">
        <v>43240</v>
      </c>
    </row>
    <row r="15" spans="1:359" x14ac:dyDescent="0.25">
      <c r="A15" s="15">
        <f t="shared" si="1"/>
        <v>731488.67870281567</v>
      </c>
      <c r="B15" s="20">
        <v>42709</v>
      </c>
      <c r="D15" s="12">
        <v>161</v>
      </c>
      <c r="E15" s="17">
        <v>1139784.5899831727</v>
      </c>
      <c r="F15" s="14">
        <v>42439</v>
      </c>
      <c r="I15" s="12">
        <v>26</v>
      </c>
      <c r="J15" s="17">
        <v>1191719.8825869903</v>
      </c>
      <c r="K15" s="14">
        <v>42481</v>
      </c>
      <c r="N15" s="12">
        <f t="shared" si="85"/>
        <v>91</v>
      </c>
      <c r="O15" s="13">
        <f t="shared" si="2"/>
        <v>731488.67870281567</v>
      </c>
      <c r="P15" s="14">
        <v>42709</v>
      </c>
      <c r="T15" s="15">
        <f t="shared" si="3"/>
        <v>1534236.6535999631</v>
      </c>
      <c r="U15" s="20">
        <v>42958</v>
      </c>
      <c r="W15" s="12">
        <v>161</v>
      </c>
      <c r="X15" s="17">
        <v>1139784.5899831727</v>
      </c>
      <c r="Y15" s="14">
        <v>42439</v>
      </c>
      <c r="AB15" s="12">
        <v>26</v>
      </c>
      <c r="AC15" s="17">
        <v>1191719.8825869903</v>
      </c>
      <c r="AD15" s="14">
        <v>42481</v>
      </c>
      <c r="AG15" s="12">
        <f t="shared" si="86"/>
        <v>26</v>
      </c>
      <c r="AH15" s="13">
        <f t="shared" si="0"/>
        <v>1534236.6535999631</v>
      </c>
      <c r="AI15" s="14">
        <v>42958</v>
      </c>
      <c r="AK15" s="12">
        <f t="shared" si="87"/>
        <v>33</v>
      </c>
      <c r="AL15" s="13">
        <f t="shared" si="4"/>
        <v>1386467.1695315086</v>
      </c>
      <c r="AM15" s="14">
        <v>42965</v>
      </c>
      <c r="AO15" s="12">
        <f t="shared" si="88"/>
        <v>31</v>
      </c>
      <c r="AP15" s="13">
        <f t="shared" si="5"/>
        <v>3650521.1538113267</v>
      </c>
      <c r="AQ15" s="14">
        <v>42968</v>
      </c>
      <c r="AS15" s="12">
        <f t="shared" si="89"/>
        <v>21</v>
      </c>
      <c r="AT15" s="13">
        <f t="shared" si="6"/>
        <v>1233316.87295933</v>
      </c>
      <c r="AU15" s="14">
        <v>42968</v>
      </c>
      <c r="AW15" s="65">
        <f t="shared" si="90"/>
        <v>23</v>
      </c>
      <c r="AX15" s="13">
        <f t="shared" si="7"/>
        <v>696855.26973624027</v>
      </c>
      <c r="AY15" s="14">
        <v>42970</v>
      </c>
      <c r="BA15" s="65">
        <f t="shared" si="91"/>
        <v>20</v>
      </c>
      <c r="BB15" s="13">
        <f t="shared" si="8"/>
        <v>617612.59226146457</v>
      </c>
      <c r="BC15" s="14">
        <v>42970</v>
      </c>
      <c r="BE15" s="65">
        <f t="shared" si="92"/>
        <v>27</v>
      </c>
      <c r="BF15" s="13">
        <f t="shared" si="9"/>
        <v>1392436.2513438503</v>
      </c>
      <c r="BG15" s="14">
        <v>42971</v>
      </c>
      <c r="BI15" s="65">
        <f t="shared" si="93"/>
        <v>16</v>
      </c>
      <c r="BJ15" s="13">
        <f t="shared" si="10"/>
        <v>2489129.0164970816</v>
      </c>
      <c r="BK15" s="14">
        <v>42975</v>
      </c>
      <c r="BM15" s="65">
        <f t="shared" si="94"/>
        <v>45</v>
      </c>
      <c r="BN15" s="13">
        <f t="shared" si="11"/>
        <v>1862750.1121905337</v>
      </c>
      <c r="BO15" s="14">
        <v>42975</v>
      </c>
      <c r="BQ15" s="65">
        <f t="shared" si="95"/>
        <v>50</v>
      </c>
      <c r="BR15" s="13">
        <f t="shared" si="12"/>
        <v>4287806.3196663763</v>
      </c>
      <c r="BS15" s="14">
        <v>42982</v>
      </c>
      <c r="BU15" s="65">
        <f t="shared" si="96"/>
        <v>19</v>
      </c>
      <c r="BV15" s="13">
        <f t="shared" si="13"/>
        <v>1610351.7876554586</v>
      </c>
      <c r="BW15" s="14">
        <v>42991</v>
      </c>
      <c r="BY15" s="65">
        <f t="shared" si="97"/>
        <v>19</v>
      </c>
      <c r="BZ15" s="13">
        <f t="shared" si="14"/>
        <v>1610351.7876554586</v>
      </c>
      <c r="CA15" s="14">
        <v>42991</v>
      </c>
      <c r="CC15" s="65">
        <f t="shared" si="98"/>
        <v>27</v>
      </c>
      <c r="CD15" s="13">
        <f t="shared" si="15"/>
        <v>1622467.0193022534</v>
      </c>
      <c r="CE15" s="14">
        <v>42992</v>
      </c>
      <c r="CG15" s="65">
        <f t="shared" si="99"/>
        <v>35</v>
      </c>
      <c r="CH15" s="13">
        <f t="shared" si="16"/>
        <v>972914.85636692808</v>
      </c>
      <c r="CI15" s="14">
        <v>42992</v>
      </c>
      <c r="CK15" s="65">
        <f t="shared" si="100"/>
        <v>59</v>
      </c>
      <c r="CL15" s="13">
        <f t="shared" si="17"/>
        <v>800250.10280307394</v>
      </c>
      <c r="CM15" s="14">
        <v>42996</v>
      </c>
      <c r="CO15" s="65">
        <f t="shared" si="101"/>
        <v>16</v>
      </c>
      <c r="CP15" s="13">
        <f t="shared" si="18"/>
        <v>1834471.2338791341</v>
      </c>
      <c r="CQ15" s="14">
        <v>42998</v>
      </c>
      <c r="CS15" s="65">
        <f t="shared" si="102"/>
        <v>12</v>
      </c>
      <c r="CT15" s="13">
        <f t="shared" si="19"/>
        <v>1595645.4999340852</v>
      </c>
      <c r="CU15" s="14">
        <v>42998</v>
      </c>
      <c r="CW15" s="65">
        <f t="shared" si="103"/>
        <v>41</v>
      </c>
      <c r="CX15" s="13">
        <f t="shared" si="20"/>
        <v>2545910.6174375745</v>
      </c>
      <c r="CY15" s="14">
        <v>43000</v>
      </c>
      <c r="DA15" s="65">
        <f t="shared" si="104"/>
        <v>21</v>
      </c>
      <c r="DB15" s="13">
        <f t="shared" si="21"/>
        <v>2810885.5036248947</v>
      </c>
      <c r="DC15" s="14">
        <v>43005</v>
      </c>
      <c r="DE15" s="65">
        <f t="shared" si="105"/>
        <v>40</v>
      </c>
      <c r="DF15" s="13">
        <f t="shared" si="22"/>
        <v>3197282.4870947967</v>
      </c>
      <c r="DG15" s="14">
        <v>43006</v>
      </c>
      <c r="DI15" s="65">
        <f t="shared" si="106"/>
        <v>0</v>
      </c>
      <c r="DJ15" s="13">
        <f>($DK$2/(1+$DK$4*DI15/360))*0</f>
        <v>0</v>
      </c>
      <c r="DK15" s="14">
        <v>43006</v>
      </c>
      <c r="DM15" s="65">
        <f t="shared" si="107"/>
        <v>13</v>
      </c>
      <c r="DN15" s="13">
        <f t="shared" si="24"/>
        <v>784787.42489250563</v>
      </c>
      <c r="DO15" s="14">
        <v>43013</v>
      </c>
      <c r="DQ15" s="65">
        <f t="shared" si="108"/>
        <v>0</v>
      </c>
      <c r="DR15" s="13">
        <f>($DK$2/(1+$DK$4*DQ15/360))*0</f>
        <v>0</v>
      </c>
      <c r="DS15" s="14">
        <v>43006</v>
      </c>
      <c r="DU15" s="65">
        <f t="shared" si="109"/>
        <v>85</v>
      </c>
      <c r="DV15" s="13">
        <f t="shared" si="26"/>
        <v>2328845.916771322</v>
      </c>
      <c r="DW15" s="14">
        <v>43017</v>
      </c>
      <c r="DY15" s="65">
        <f t="shared" si="110"/>
        <v>96</v>
      </c>
      <c r="DZ15" s="13">
        <f t="shared" si="27"/>
        <v>791489.82498115068</v>
      </c>
      <c r="EA15" s="14">
        <v>43020</v>
      </c>
      <c r="EC15" s="65">
        <f t="shared" si="111"/>
        <v>21</v>
      </c>
      <c r="ED15" s="13">
        <f t="shared" si="28"/>
        <v>1260783.1573877716</v>
      </c>
      <c r="EE15" s="14">
        <v>43021</v>
      </c>
      <c r="EG15" s="65">
        <f t="shared" si="112"/>
        <v>29</v>
      </c>
      <c r="EH15" s="13">
        <f t="shared" si="29"/>
        <v>1591295.0398973802</v>
      </c>
      <c r="EI15" s="14">
        <v>43026</v>
      </c>
      <c r="EK15" s="65">
        <f t="shared" si="113"/>
        <v>10</v>
      </c>
      <c r="EL15" s="13">
        <f t="shared" si="30"/>
        <v>968543.66544114845</v>
      </c>
      <c r="EM15" s="14">
        <v>43031</v>
      </c>
      <c r="EO15" s="65">
        <f t="shared" si="114"/>
        <v>70</v>
      </c>
      <c r="EP15" s="13">
        <f t="shared" si="31"/>
        <v>1278447.176518647</v>
      </c>
      <c r="EQ15" s="14">
        <v>43032</v>
      </c>
      <c r="ES15" s="65">
        <f t="shared" si="115"/>
        <v>27</v>
      </c>
      <c r="ET15" s="13">
        <f t="shared" si="32"/>
        <v>1601976.3478831165</v>
      </c>
      <c r="EU15" s="14">
        <v>43032</v>
      </c>
      <c r="EW15" s="65">
        <f t="shared" si="116"/>
        <v>6</v>
      </c>
      <c r="EX15" s="13">
        <f t="shared" si="33"/>
        <v>2391045.7518861373</v>
      </c>
      <c r="EY15" s="14">
        <v>43033</v>
      </c>
      <c r="FA15" s="65">
        <f t="shared" si="117"/>
        <v>69</v>
      </c>
      <c r="FB15" s="13">
        <f t="shared" si="34"/>
        <v>1258018.8282843758</v>
      </c>
      <c r="FC15" s="14">
        <v>43039</v>
      </c>
      <c r="FE15" s="65">
        <f t="shared" si="118"/>
        <v>64</v>
      </c>
      <c r="FF15" s="13">
        <f t="shared" si="35"/>
        <v>3149397.4823337779</v>
      </c>
      <c r="FG15" s="14">
        <v>43039</v>
      </c>
      <c r="FI15" s="65">
        <f t="shared" si="119"/>
        <v>61</v>
      </c>
      <c r="FJ15" s="13">
        <f t="shared" si="36"/>
        <v>1739097.7100680445</v>
      </c>
      <c r="FK15" s="14">
        <v>43041</v>
      </c>
      <c r="FM15" s="65">
        <f t="shared" si="120"/>
        <v>27</v>
      </c>
      <c r="FN15" s="13">
        <f t="shared" si="37"/>
        <v>1140020.176675495</v>
      </c>
      <c r="FO15" s="14">
        <v>43046</v>
      </c>
      <c r="FQ15" s="65">
        <f t="shared" si="121"/>
        <v>23</v>
      </c>
      <c r="FR15" s="13">
        <f t="shared" si="38"/>
        <v>1409243.3561838872</v>
      </c>
      <c r="FS15" s="14">
        <v>43046</v>
      </c>
      <c r="FU15" s="65">
        <f t="shared" si="122"/>
        <v>36</v>
      </c>
      <c r="FV15" s="13">
        <f t="shared" si="39"/>
        <v>1903017.6088577781</v>
      </c>
      <c r="FW15" s="14">
        <v>43048</v>
      </c>
      <c r="FY15" s="65">
        <f t="shared" si="123"/>
        <v>22</v>
      </c>
      <c r="FZ15" s="13">
        <f t="shared" si="40"/>
        <v>3942998.9649214684</v>
      </c>
      <c r="GA15" s="14">
        <v>43048</v>
      </c>
      <c r="GC15" s="65">
        <f t="shared" si="124"/>
        <v>26</v>
      </c>
      <c r="GD15" s="13">
        <f t="shared" si="41"/>
        <v>867215.74428675149</v>
      </c>
      <c r="GE15" s="14">
        <v>43049</v>
      </c>
      <c r="GG15" s="65">
        <f t="shared" si="125"/>
        <v>22</v>
      </c>
      <c r="GH15" s="13">
        <f t="shared" si="42"/>
        <v>2838926.8343009204</v>
      </c>
      <c r="GI15" s="14">
        <v>43053</v>
      </c>
      <c r="GK15" s="65">
        <f t="shared" si="126"/>
        <v>13</v>
      </c>
      <c r="GL15" s="13">
        <f t="shared" si="43"/>
        <v>946217.12343699008</v>
      </c>
      <c r="GM15" s="14">
        <v>43070</v>
      </c>
      <c r="GO15" s="65">
        <f t="shared" si="127"/>
        <v>23</v>
      </c>
      <c r="GP15" s="13">
        <f t="shared" si="44"/>
        <v>1256681.4865193127</v>
      </c>
      <c r="GQ15" s="14">
        <v>43073</v>
      </c>
      <c r="GS15" s="65">
        <f t="shared" si="128"/>
        <v>28</v>
      </c>
      <c r="GT15" s="13">
        <f t="shared" si="45"/>
        <v>1547109.6398231206</v>
      </c>
      <c r="GU15" s="14">
        <v>43076</v>
      </c>
      <c r="GW15" s="65">
        <f t="shared" si="129"/>
        <v>28</v>
      </c>
      <c r="GX15" s="13">
        <f t="shared" si="46"/>
        <v>921705.88243450143</v>
      </c>
      <c r="GY15" s="14">
        <v>43077</v>
      </c>
      <c r="HA15" s="65">
        <f t="shared" si="130"/>
        <v>28</v>
      </c>
      <c r="HB15" s="13">
        <f t="shared" si="47"/>
        <v>1536319.5263228326</v>
      </c>
      <c r="HC15" s="14">
        <v>43077</v>
      </c>
      <c r="HE15" s="65">
        <f t="shared" si="131"/>
        <v>23</v>
      </c>
      <c r="HF15" s="13">
        <f t="shared" si="48"/>
        <v>1100907.5732428145</v>
      </c>
      <c r="HG15" s="14">
        <v>43081</v>
      </c>
      <c r="HI15" s="65">
        <f t="shared" si="132"/>
        <v>2</v>
      </c>
      <c r="HJ15" s="13">
        <f t="shared" si="49"/>
        <v>763479.96121702157</v>
      </c>
      <c r="HK15" s="14">
        <v>43082</v>
      </c>
      <c r="HM15" s="65">
        <f t="shared" si="133"/>
        <v>1</v>
      </c>
      <c r="HN15" s="13">
        <f t="shared" si="50"/>
        <v>1374369.2840333174</v>
      </c>
      <c r="HO15" s="14">
        <v>43082</v>
      </c>
      <c r="HQ15" s="65">
        <f t="shared" si="134"/>
        <v>25</v>
      </c>
      <c r="HR15" s="13">
        <f t="shared" si="51"/>
        <v>3042257.1786921211</v>
      </c>
      <c r="HS15" s="14">
        <v>43083</v>
      </c>
      <c r="HU15" s="65">
        <f t="shared" si="135"/>
        <v>1</v>
      </c>
      <c r="HV15" s="13">
        <f t="shared" si="52"/>
        <v>1524349.6186724715</v>
      </c>
      <c r="HW15" s="14">
        <v>43087</v>
      </c>
      <c r="HY15" s="65">
        <f t="shared" si="136"/>
        <v>2</v>
      </c>
      <c r="HZ15" s="13">
        <f t="shared" si="53"/>
        <v>1524277.3706761601</v>
      </c>
      <c r="IA15" s="14">
        <v>43087</v>
      </c>
      <c r="IC15" s="65">
        <f t="shared" si="137"/>
        <v>3</v>
      </c>
      <c r="ID15" s="13">
        <f t="shared" si="54"/>
        <v>1219685.5503559085</v>
      </c>
      <c r="IE15" s="14">
        <v>43088</v>
      </c>
      <c r="IG15" s="65">
        <f t="shared" si="138"/>
        <v>26</v>
      </c>
      <c r="IH15" s="13">
        <f t="shared" si="55"/>
        <v>1283392.9527590224</v>
      </c>
      <c r="II15" s="14">
        <v>43098</v>
      </c>
      <c r="IK15" s="65">
        <f t="shared" si="139"/>
        <v>34</v>
      </c>
      <c r="IL15" s="13">
        <f t="shared" si="56"/>
        <v>2579616.2520560725</v>
      </c>
      <c r="IM15" s="14">
        <v>43102</v>
      </c>
      <c r="IO15" s="65">
        <f t="shared" si="140"/>
        <v>26</v>
      </c>
      <c r="IP15" s="13">
        <f t="shared" si="57"/>
        <v>1133906.8416705474</v>
      </c>
      <c r="IQ15" s="14">
        <v>43103</v>
      </c>
      <c r="IS15" s="65">
        <f t="shared" si="141"/>
        <v>23</v>
      </c>
      <c r="IT15" s="13">
        <f t="shared" si="58"/>
        <v>1488365.9568394732</v>
      </c>
      <c r="IU15" s="14">
        <v>43109</v>
      </c>
      <c r="IW15" s="65">
        <f t="shared" si="142"/>
        <v>27</v>
      </c>
      <c r="IX15" s="13">
        <f t="shared" si="59"/>
        <v>1643876.3638043837</v>
      </c>
      <c r="IY15" s="14">
        <v>43109</v>
      </c>
      <c r="JA15" s="65">
        <f t="shared" si="143"/>
        <v>51</v>
      </c>
      <c r="JB15" s="13">
        <f t="shared" si="60"/>
        <v>986082.39114408626</v>
      </c>
      <c r="JC15" s="14">
        <v>43115</v>
      </c>
      <c r="JE15" s="65">
        <f t="shared" si="144"/>
        <v>34</v>
      </c>
      <c r="JF15" s="13">
        <f t="shared" si="61"/>
        <v>1481025.1078459355</v>
      </c>
      <c r="JG15" s="14">
        <v>43126</v>
      </c>
      <c r="JI15" s="65">
        <f t="shared" si="145"/>
        <v>13</v>
      </c>
      <c r="JJ15" s="13">
        <f t="shared" si="62"/>
        <v>993103.9888437388</v>
      </c>
      <c r="JK15" s="14">
        <v>43131</v>
      </c>
      <c r="JM15" s="65">
        <f t="shared" si="146"/>
        <v>22</v>
      </c>
      <c r="JN15" s="13">
        <f t="shared" si="63"/>
        <v>992460.39413233963</v>
      </c>
      <c r="JO15" s="14">
        <v>43131</v>
      </c>
      <c r="JQ15" s="65">
        <f t="shared" si="147"/>
        <v>28</v>
      </c>
      <c r="JR15" s="13">
        <f t="shared" si="64"/>
        <v>1499090.9143555048</v>
      </c>
      <c r="JS15" s="14">
        <v>43132</v>
      </c>
      <c r="JU15" s="65">
        <f t="shared" si="148"/>
        <v>56</v>
      </c>
      <c r="JV15" s="13">
        <f t="shared" si="65"/>
        <v>1649750.8378181129</v>
      </c>
      <c r="JW15" s="14">
        <v>43137</v>
      </c>
      <c r="JY15" s="65">
        <f t="shared" si="149"/>
        <v>34</v>
      </c>
      <c r="JZ15" s="13">
        <f t="shared" si="66"/>
        <v>1481025.1078459355</v>
      </c>
      <c r="KA15" s="14">
        <v>43126</v>
      </c>
      <c r="KC15" s="65">
        <f t="shared" si="150"/>
        <v>13</v>
      </c>
      <c r="KD15" s="13">
        <f t="shared" si="67"/>
        <v>993103.9888437388</v>
      </c>
      <c r="KE15" s="14">
        <v>43131</v>
      </c>
      <c r="KG15" s="65">
        <f t="shared" si="151"/>
        <v>22</v>
      </c>
      <c r="KH15" s="13">
        <f t="shared" si="68"/>
        <v>992460.39413233963</v>
      </c>
      <c r="KI15" s="14">
        <v>43131</v>
      </c>
      <c r="KK15" s="65">
        <f t="shared" si="152"/>
        <v>28</v>
      </c>
      <c r="KL15" s="13">
        <f t="shared" si="69"/>
        <v>1499090.9143555048</v>
      </c>
      <c r="KM15" s="14">
        <v>43132</v>
      </c>
      <c r="KO15" s="65">
        <f t="shared" si="153"/>
        <v>17</v>
      </c>
      <c r="KP15" s="13">
        <f t="shared" si="70"/>
        <v>3312823.3479086249</v>
      </c>
      <c r="KQ15" s="14">
        <v>43175</v>
      </c>
      <c r="KS15" s="65">
        <f t="shared" si="154"/>
        <v>44</v>
      </c>
      <c r="KT15" s="13">
        <f t="shared" si="71"/>
        <v>3303133.1979744746</v>
      </c>
      <c r="KU15" s="14">
        <v>43178</v>
      </c>
      <c r="KW15" s="65">
        <f t="shared" si="155"/>
        <v>35</v>
      </c>
      <c r="KX15" s="13">
        <f t="shared" si="72"/>
        <v>2985039.934840864</v>
      </c>
      <c r="KY15" s="14">
        <v>43180</v>
      </c>
      <c r="LA15" s="65">
        <f t="shared" si="156"/>
        <v>72</v>
      </c>
      <c r="LB15" s="13">
        <f t="shared" si="73"/>
        <v>2627938.0462963441</v>
      </c>
      <c r="LC15" s="14">
        <v>43192</v>
      </c>
      <c r="LE15" s="65">
        <f t="shared" si="157"/>
        <v>13</v>
      </c>
      <c r="LF15" s="13">
        <f t="shared" si="74"/>
        <v>994192.48776004545</v>
      </c>
      <c r="LG15" s="14">
        <v>43195</v>
      </c>
      <c r="LI15" s="65">
        <f t="shared" si="158"/>
        <v>32</v>
      </c>
      <c r="LJ15" s="13">
        <f t="shared" si="75"/>
        <v>2481664.6803528536</v>
      </c>
      <c r="LK15" s="14">
        <v>43199</v>
      </c>
      <c r="LM15" s="65">
        <f t="shared" si="159"/>
        <v>60</v>
      </c>
      <c r="LN15" s="13">
        <f t="shared" si="76"/>
        <v>742990.48975470371</v>
      </c>
      <c r="LO15" s="14">
        <v>43202</v>
      </c>
      <c r="LQ15" s="65">
        <f t="shared" si="160"/>
        <v>29</v>
      </c>
      <c r="LR15" s="13">
        <f t="shared" si="77"/>
        <v>2773306.2426001448</v>
      </c>
      <c r="LS15" s="14">
        <v>43215</v>
      </c>
      <c r="LU15" s="65">
        <f t="shared" si="161"/>
        <v>7</v>
      </c>
      <c r="LV15" s="13">
        <f t="shared" si="78"/>
        <v>832363.35378795804</v>
      </c>
      <c r="LW15" s="14">
        <v>43220</v>
      </c>
      <c r="LY15" s="65">
        <f t="shared" si="162"/>
        <v>32</v>
      </c>
      <c r="LZ15" s="13">
        <f t="shared" si="79"/>
        <v>974873.9464550725</v>
      </c>
      <c r="MA15" s="14">
        <v>43227</v>
      </c>
      <c r="MC15" s="65">
        <f t="shared" si="163"/>
        <v>27</v>
      </c>
      <c r="MD15" s="13">
        <f t="shared" si="80"/>
        <v>2862528.0104898014</v>
      </c>
      <c r="ME15" s="14">
        <v>43229</v>
      </c>
      <c r="MG15" s="65">
        <f t="shared" si="164"/>
        <v>22</v>
      </c>
      <c r="MH15" s="13">
        <f t="shared" si="81"/>
        <v>1771437.9456447097</v>
      </c>
      <c r="MI15" s="14">
        <v>43230</v>
      </c>
      <c r="MK15" s="65">
        <f t="shared" si="165"/>
        <v>16</v>
      </c>
      <c r="ML15" s="13">
        <f t="shared" si="82"/>
        <v>1581821.1275681099</v>
      </c>
      <c r="MM15" s="14">
        <v>43236</v>
      </c>
      <c r="MO15" s="65">
        <f t="shared" si="166"/>
        <v>13</v>
      </c>
      <c r="MP15" s="13">
        <f t="shared" si="83"/>
        <v>1455068.9786296617</v>
      </c>
      <c r="MQ15" s="14">
        <v>43238</v>
      </c>
      <c r="MS15" s="65">
        <f t="shared" si="167"/>
        <v>14</v>
      </c>
      <c r="MT15" s="13">
        <f t="shared" si="84"/>
        <v>1440895.6124964536</v>
      </c>
      <c r="MU15" s="14">
        <v>43241</v>
      </c>
    </row>
    <row r="16" spans="1:359" x14ac:dyDescent="0.25">
      <c r="A16" s="15">
        <f t="shared" si="1"/>
        <v>731517.93358886777</v>
      </c>
      <c r="B16" s="20">
        <v>42710</v>
      </c>
      <c r="D16" s="12">
        <v>160</v>
      </c>
      <c r="E16" s="17">
        <v>1139811.6925005964</v>
      </c>
      <c r="F16" s="14">
        <v>42440</v>
      </c>
      <c r="I16" s="12">
        <v>25</v>
      </c>
      <c r="J16" s="17">
        <v>1191734.1320600319</v>
      </c>
      <c r="K16" s="14">
        <v>42482</v>
      </c>
      <c r="N16" s="12">
        <f t="shared" si="85"/>
        <v>90</v>
      </c>
      <c r="O16" s="13">
        <f t="shared" si="2"/>
        <v>731517.93358886777</v>
      </c>
      <c r="P16" s="14">
        <v>42710</v>
      </c>
      <c r="T16" s="15">
        <f t="shared" si="3"/>
        <v>1534315.4121592094</v>
      </c>
      <c r="U16" s="20">
        <v>42959</v>
      </c>
      <c r="W16" s="12">
        <v>160</v>
      </c>
      <c r="X16" s="17">
        <v>1139811.6925005964</v>
      </c>
      <c r="Y16" s="14">
        <v>42440</v>
      </c>
      <c r="AB16" s="12">
        <v>25</v>
      </c>
      <c r="AC16" s="17">
        <v>1191734.1320600319</v>
      </c>
      <c r="AD16" s="14">
        <v>42482</v>
      </c>
      <c r="AG16" s="12">
        <f t="shared" si="86"/>
        <v>25</v>
      </c>
      <c r="AH16" s="13">
        <f t="shared" si="0"/>
        <v>1534315.4121592094</v>
      </c>
      <c r="AI16" s="14">
        <v>42959</v>
      </c>
      <c r="AK16" s="12">
        <f t="shared" si="87"/>
        <v>32</v>
      </c>
      <c r="AL16" s="13">
        <f t="shared" si="4"/>
        <v>1386536.5472262972</v>
      </c>
      <c r="AM16" s="14">
        <v>42966</v>
      </c>
      <c r="AO16" s="12">
        <f t="shared" si="88"/>
        <v>30</v>
      </c>
      <c r="AP16" s="13">
        <f t="shared" si="5"/>
        <v>3650720.079609056</v>
      </c>
      <c r="AQ16" s="14">
        <v>42969</v>
      </c>
      <c r="AS16" s="12">
        <f t="shared" si="89"/>
        <v>20</v>
      </c>
      <c r="AT16" s="13">
        <f t="shared" si="6"/>
        <v>1233390.8760313278</v>
      </c>
      <c r="AU16" s="14">
        <v>42969</v>
      </c>
      <c r="AW16" s="65">
        <f t="shared" si="90"/>
        <v>22</v>
      </c>
      <c r="AX16" s="13">
        <f t="shared" si="7"/>
        <v>696892.25253646506</v>
      </c>
      <c r="AY16" s="14">
        <v>42971</v>
      </c>
      <c r="BA16" s="65">
        <f t="shared" si="91"/>
        <v>19</v>
      </c>
      <c r="BB16" s="13">
        <f t="shared" si="8"/>
        <v>617649.55598839419</v>
      </c>
      <c r="BC16" s="14">
        <v>42971</v>
      </c>
      <c r="BE16" s="65">
        <f t="shared" si="92"/>
        <v>26</v>
      </c>
      <c r="BF16" s="13">
        <f t="shared" si="9"/>
        <v>1392515.9780383869</v>
      </c>
      <c r="BG16" s="14">
        <v>42972</v>
      </c>
      <c r="BI16" s="65">
        <f t="shared" si="93"/>
        <v>15</v>
      </c>
      <c r="BJ16" s="13">
        <f t="shared" si="10"/>
        <v>2489260.9562078323</v>
      </c>
      <c r="BK16" s="14">
        <v>42976</v>
      </c>
      <c r="BM16" s="65">
        <f t="shared" si="94"/>
        <v>44</v>
      </c>
      <c r="BN16" s="13">
        <f t="shared" si="11"/>
        <v>1862848.9944782064</v>
      </c>
      <c r="BO16" s="14">
        <v>42976</v>
      </c>
      <c r="BQ16" s="65">
        <f t="shared" si="95"/>
        <v>49</v>
      </c>
      <c r="BR16" s="13">
        <f t="shared" si="12"/>
        <v>4288105.347786081</v>
      </c>
      <c r="BS16" s="14">
        <v>42983</v>
      </c>
      <c r="BU16" s="65">
        <f t="shared" si="96"/>
        <v>18</v>
      </c>
      <c r="BV16" s="13">
        <f t="shared" si="13"/>
        <v>1610425.8112170084</v>
      </c>
      <c r="BW16" s="14">
        <v>42992</v>
      </c>
      <c r="BY16" s="65">
        <f t="shared" si="97"/>
        <v>18</v>
      </c>
      <c r="BZ16" s="13">
        <f t="shared" si="14"/>
        <v>1610425.8112170084</v>
      </c>
      <c r="CA16" s="14">
        <v>42992</v>
      </c>
      <c r="CC16" s="65">
        <f t="shared" si="98"/>
        <v>26</v>
      </c>
      <c r="CD16" s="13">
        <f t="shared" si="15"/>
        <v>1622537.7409983331</v>
      </c>
      <c r="CE16" s="14">
        <v>42993</v>
      </c>
      <c r="CG16" s="65">
        <f t="shared" si="99"/>
        <v>34</v>
      </c>
      <c r="CH16" s="13">
        <f t="shared" si="16"/>
        <v>972957.83674676262</v>
      </c>
      <c r="CI16" s="14">
        <v>42993</v>
      </c>
      <c r="CK16" s="65">
        <f t="shared" si="100"/>
        <v>58</v>
      </c>
      <c r="CL16" s="13">
        <f t="shared" si="17"/>
        <v>800287.76166135585</v>
      </c>
      <c r="CM16" s="14">
        <v>42997</v>
      </c>
      <c r="CO16" s="65">
        <f t="shared" si="101"/>
        <v>15</v>
      </c>
      <c r="CP16" s="13">
        <f t="shared" si="18"/>
        <v>1834543.2313173655</v>
      </c>
      <c r="CQ16" s="14">
        <v>42999</v>
      </c>
      <c r="CS16" s="65">
        <f t="shared" si="102"/>
        <v>11</v>
      </c>
      <c r="CT16" s="13">
        <f t="shared" si="19"/>
        <v>1595706.1026183299</v>
      </c>
      <c r="CU16" s="14">
        <v>42999</v>
      </c>
      <c r="CW16" s="65">
        <f t="shared" si="103"/>
        <v>40</v>
      </c>
      <c r="CX16" s="13">
        <f t="shared" si="20"/>
        <v>2546024.1332624685</v>
      </c>
      <c r="CY16" s="14">
        <v>43001</v>
      </c>
      <c r="DA16" s="65">
        <f t="shared" si="104"/>
        <v>20</v>
      </c>
      <c r="DB16" s="13">
        <f t="shared" si="21"/>
        <v>2811012.2727210093</v>
      </c>
      <c r="DC16" s="14">
        <v>43006</v>
      </c>
      <c r="DE16" s="65">
        <f t="shared" si="105"/>
        <v>39</v>
      </c>
      <c r="DF16" s="13">
        <f t="shared" si="22"/>
        <v>3197439.8228800814</v>
      </c>
      <c r="DG16" s="14">
        <v>43007</v>
      </c>
      <c r="DI16" s="65"/>
      <c r="DJ16" s="13"/>
      <c r="DK16" s="14"/>
      <c r="DM16" s="65">
        <f t="shared" si="107"/>
        <v>12</v>
      </c>
      <c r="DN16" s="13">
        <f t="shared" si="24"/>
        <v>784825.82061363908</v>
      </c>
      <c r="DO16" s="14">
        <v>43014</v>
      </c>
      <c r="DQ16" s="65"/>
      <c r="DR16" s="13"/>
      <c r="DS16" s="14"/>
      <c r="DU16" s="65">
        <f t="shared" si="109"/>
        <v>84</v>
      </c>
      <c r="DV16" s="13">
        <f t="shared" si="26"/>
        <v>2328960.5971846539</v>
      </c>
      <c r="DW16" s="14">
        <v>43018</v>
      </c>
      <c r="DY16" s="65">
        <f t="shared" si="110"/>
        <v>95</v>
      </c>
      <c r="DZ16" s="13">
        <f t="shared" si="27"/>
        <v>791531.20013146359</v>
      </c>
      <c r="EA16" s="14">
        <v>43021</v>
      </c>
      <c r="EC16" s="65">
        <f t="shared" si="111"/>
        <v>20</v>
      </c>
      <c r="ED16" s="13">
        <f t="shared" si="28"/>
        <v>1260844.3064459311</v>
      </c>
      <c r="EE16" s="14">
        <v>43022</v>
      </c>
      <c r="EG16" s="65">
        <f t="shared" si="112"/>
        <v>28</v>
      </c>
      <c r="EH16" s="13">
        <f t="shared" si="29"/>
        <v>1591380.5266067113</v>
      </c>
      <c r="EI16" s="14">
        <v>43027</v>
      </c>
      <c r="EK16" s="65">
        <f t="shared" si="113"/>
        <v>9</v>
      </c>
      <c r="EL16" s="13">
        <f t="shared" si="30"/>
        <v>968591.63235819619</v>
      </c>
      <c r="EM16" s="14">
        <v>43032</v>
      </c>
      <c r="EO16" s="65">
        <f t="shared" si="114"/>
        <v>69</v>
      </c>
      <c r="EP16" s="13">
        <f t="shared" si="31"/>
        <v>1278521.8723475942</v>
      </c>
      <c r="EQ16" s="14">
        <v>43033</v>
      </c>
      <c r="ES16" s="65">
        <f t="shared" si="115"/>
        <v>26</v>
      </c>
      <c r="ET16" s="13">
        <f t="shared" si="32"/>
        <v>1602069.4008014365</v>
      </c>
      <c r="EU16" s="14">
        <v>43033</v>
      </c>
      <c r="EW16" s="65">
        <f t="shared" si="116"/>
        <v>5</v>
      </c>
      <c r="EX16" s="13">
        <f t="shared" si="33"/>
        <v>2391141.4013274787</v>
      </c>
      <c r="EY16" s="14">
        <v>43034</v>
      </c>
      <c r="FA16" s="65">
        <f t="shared" si="117"/>
        <v>68</v>
      </c>
      <c r="FB16" s="13">
        <f t="shared" si="34"/>
        <v>1258093.6779353097</v>
      </c>
      <c r="FC16" s="14">
        <v>43040</v>
      </c>
      <c r="FE16" s="65">
        <f t="shared" si="118"/>
        <v>63</v>
      </c>
      <c r="FF16" s="13">
        <f t="shared" si="35"/>
        <v>3149573.5570973735</v>
      </c>
      <c r="FG16" s="14">
        <v>43040</v>
      </c>
      <c r="FI16" s="65">
        <f t="shared" si="119"/>
        <v>60</v>
      </c>
      <c r="FJ16" s="13">
        <f t="shared" si="36"/>
        <v>1739203.7260404278</v>
      </c>
      <c r="FK16" s="14">
        <v>43042</v>
      </c>
      <c r="FM16" s="65">
        <f t="shared" si="120"/>
        <v>26</v>
      </c>
      <c r="FN16" s="13">
        <f t="shared" si="37"/>
        <v>1140087.845461389</v>
      </c>
      <c r="FO16" s="14">
        <v>43047</v>
      </c>
      <c r="FQ16" s="65">
        <f t="shared" si="121"/>
        <v>22</v>
      </c>
      <c r="FR16" s="13">
        <f t="shared" si="38"/>
        <v>1409325.9257521122</v>
      </c>
      <c r="FS16" s="14">
        <v>43047</v>
      </c>
      <c r="FU16" s="65">
        <f t="shared" si="122"/>
        <v>35</v>
      </c>
      <c r="FV16" s="13">
        <f t="shared" si="39"/>
        <v>1903130.2520098188</v>
      </c>
      <c r="FW16" s="14">
        <v>43049</v>
      </c>
      <c r="FY16" s="65">
        <f t="shared" si="123"/>
        <v>21</v>
      </c>
      <c r="FZ16" s="13">
        <f t="shared" si="40"/>
        <v>3943220.9255369902</v>
      </c>
      <c r="GA16" s="14">
        <v>43049</v>
      </c>
      <c r="GC16" s="65">
        <f t="shared" si="124"/>
        <v>25</v>
      </c>
      <c r="GD16" s="13">
        <f t="shared" si="41"/>
        <v>867264.31951323361</v>
      </c>
      <c r="GE16" s="14">
        <v>43050</v>
      </c>
      <c r="GG16" s="65">
        <f t="shared" si="125"/>
        <v>21</v>
      </c>
      <c r="GH16" s="13">
        <f t="shared" si="42"/>
        <v>2839082.0098836459</v>
      </c>
      <c r="GI16" s="14">
        <v>43054</v>
      </c>
      <c r="GK16" s="65">
        <f t="shared" si="126"/>
        <v>12</v>
      </c>
      <c r="GL16" s="13">
        <f t="shared" si="43"/>
        <v>946286.45168385154</v>
      </c>
      <c r="GM16" s="14">
        <v>43071</v>
      </c>
      <c r="GO16" s="65">
        <f t="shared" si="127"/>
        <v>22</v>
      </c>
      <c r="GP16" s="13">
        <f t="shared" si="44"/>
        <v>1256784.254639548</v>
      </c>
      <c r="GQ16" s="14">
        <v>43074</v>
      </c>
      <c r="GS16" s="65">
        <f t="shared" si="128"/>
        <v>27</v>
      </c>
      <c r="GT16" s="13">
        <f t="shared" si="45"/>
        <v>1547234.1656445407</v>
      </c>
      <c r="GU16" s="14">
        <v>43077</v>
      </c>
      <c r="GW16" s="65">
        <f t="shared" si="129"/>
        <v>27</v>
      </c>
      <c r="GX16" s="13">
        <f t="shared" si="46"/>
        <v>921777.03097781015</v>
      </c>
      <c r="GY16" s="14">
        <v>43078</v>
      </c>
      <c r="HA16" s="65">
        <f t="shared" si="130"/>
        <v>27</v>
      </c>
      <c r="HB16" s="13">
        <f t="shared" si="47"/>
        <v>1536433.0185440965</v>
      </c>
      <c r="HC16" s="14">
        <v>43078</v>
      </c>
      <c r="HE16" s="65">
        <f t="shared" si="131"/>
        <v>22</v>
      </c>
      <c r="HF16" s="13">
        <f t="shared" si="48"/>
        <v>1100990.7110454864</v>
      </c>
      <c r="HG16" s="14">
        <v>43082</v>
      </c>
      <c r="HI16" s="65">
        <f t="shared" si="132"/>
        <v>1</v>
      </c>
      <c r="HJ16" s="13">
        <f t="shared" si="49"/>
        <v>763535.94564198633</v>
      </c>
      <c r="HK16" s="14">
        <v>43083</v>
      </c>
      <c r="HM16" s="65">
        <f t="shared" si="133"/>
        <v>0</v>
      </c>
      <c r="HN16" s="13">
        <f>($HO$2/(1+$HO$4*HM16/360))*0</f>
        <v>0</v>
      </c>
      <c r="HO16" s="14">
        <v>43083</v>
      </c>
      <c r="HQ16" s="65">
        <f t="shared" si="134"/>
        <v>24</v>
      </c>
      <c r="HR16" s="13">
        <f t="shared" si="51"/>
        <v>3042530.5348592778</v>
      </c>
      <c r="HS16" s="14">
        <v>43084</v>
      </c>
      <c r="HU16" s="65">
        <f t="shared" si="135"/>
        <v>0</v>
      </c>
      <c r="HV16" s="13">
        <f>($HW$2/(1+$HW$4*HU16/360))*0</f>
        <v>0</v>
      </c>
      <c r="HW16" s="14">
        <v>43088</v>
      </c>
      <c r="HY16" s="65">
        <f t="shared" si="136"/>
        <v>1</v>
      </c>
      <c r="HZ16" s="13">
        <f t="shared" si="53"/>
        <v>1524391.898143532</v>
      </c>
      <c r="IA16" s="14">
        <v>43088</v>
      </c>
      <c r="IC16" s="65">
        <f t="shared" si="137"/>
        <v>2</v>
      </c>
      <c r="ID16" s="13">
        <f t="shared" si="54"/>
        <v>1219832.322996228</v>
      </c>
      <c r="IE16" s="14">
        <v>43089</v>
      </c>
      <c r="IG16" s="65">
        <f t="shared" si="138"/>
        <v>25</v>
      </c>
      <c r="IH16" s="13">
        <f t="shared" si="55"/>
        <v>1283499.6798237006</v>
      </c>
      <c r="II16" s="14">
        <v>43099</v>
      </c>
      <c r="IK16" s="65">
        <f t="shared" si="139"/>
        <v>33</v>
      </c>
      <c r="IL16" s="13">
        <f t="shared" si="56"/>
        <v>2579833.6759991492</v>
      </c>
      <c r="IM16" s="14">
        <v>43103</v>
      </c>
      <c r="IO16" s="65">
        <f t="shared" si="140"/>
        <v>25</v>
      </c>
      <c r="IP16" s="13">
        <f t="shared" si="57"/>
        <v>1134001.1374577961</v>
      </c>
      <c r="IQ16" s="14">
        <v>43104</v>
      </c>
      <c r="IS16" s="65">
        <f t="shared" si="141"/>
        <v>22</v>
      </c>
      <c r="IT16" s="13">
        <f t="shared" si="58"/>
        <v>1488459.530571094</v>
      </c>
      <c r="IU16" s="14">
        <v>43110</v>
      </c>
      <c r="IW16" s="65">
        <f t="shared" si="142"/>
        <v>26</v>
      </c>
      <c r="IX16" s="13">
        <f t="shared" si="59"/>
        <v>1643978.2834460333</v>
      </c>
      <c r="IY16" s="14">
        <v>43110</v>
      </c>
      <c r="JA16" s="65">
        <f t="shared" si="143"/>
        <v>50</v>
      </c>
      <c r="JB16" s="13">
        <f t="shared" si="60"/>
        <v>986134.7749890181</v>
      </c>
      <c r="JC16" s="14">
        <v>43116</v>
      </c>
      <c r="JE16" s="65">
        <f t="shared" si="144"/>
        <v>33</v>
      </c>
      <c r="JF16" s="13">
        <f t="shared" si="61"/>
        <v>1481100.892834957</v>
      </c>
      <c r="JG16" s="14">
        <v>43127</v>
      </c>
      <c r="JI16" s="65">
        <f t="shared" si="145"/>
        <v>12</v>
      </c>
      <c r="JJ16" s="13">
        <f t="shared" si="62"/>
        <v>993155.36993654945</v>
      </c>
      <c r="JK16" s="14">
        <v>43132</v>
      </c>
      <c r="JM16" s="65">
        <f t="shared" si="146"/>
        <v>21</v>
      </c>
      <c r="JN16" s="13">
        <f t="shared" si="63"/>
        <v>992513.23722193507</v>
      </c>
      <c r="JO16" s="14">
        <v>43132</v>
      </c>
      <c r="JQ16" s="65">
        <f t="shared" si="147"/>
        <v>27</v>
      </c>
      <c r="JR16" s="13">
        <f t="shared" si="64"/>
        <v>1499177.7652131822</v>
      </c>
      <c r="JS16" s="14">
        <v>43133</v>
      </c>
      <c r="JU16" s="65">
        <f t="shared" si="148"/>
        <v>55</v>
      </c>
      <c r="JV16" s="13">
        <f t="shared" si="65"/>
        <v>1649853.0109611689</v>
      </c>
      <c r="JW16" s="14">
        <v>43138</v>
      </c>
      <c r="JY16" s="65">
        <f t="shared" si="149"/>
        <v>33</v>
      </c>
      <c r="JZ16" s="13">
        <f t="shared" si="66"/>
        <v>1481100.892834957</v>
      </c>
      <c r="KA16" s="14">
        <v>43127</v>
      </c>
      <c r="KC16" s="65">
        <f t="shared" si="150"/>
        <v>12</v>
      </c>
      <c r="KD16" s="13">
        <f t="shared" si="67"/>
        <v>993155.36993654945</v>
      </c>
      <c r="KE16" s="14">
        <v>43132</v>
      </c>
      <c r="KG16" s="65">
        <f t="shared" si="151"/>
        <v>21</v>
      </c>
      <c r="KH16" s="13">
        <f t="shared" si="68"/>
        <v>992513.23722193507</v>
      </c>
      <c r="KI16" s="14">
        <v>43132</v>
      </c>
      <c r="KK16" s="65">
        <f t="shared" si="152"/>
        <v>27</v>
      </c>
      <c r="KL16" s="13">
        <f t="shared" si="69"/>
        <v>1499177.7652131822</v>
      </c>
      <c r="KM16" s="14">
        <v>43133</v>
      </c>
      <c r="KO16" s="65">
        <f t="shared" si="153"/>
        <v>16</v>
      </c>
      <c r="KP16" s="13">
        <f t="shared" si="70"/>
        <v>3313057.2739654095</v>
      </c>
      <c r="KQ16" s="14">
        <v>43176</v>
      </c>
      <c r="KS16" s="65">
        <f t="shared" si="154"/>
        <v>43</v>
      </c>
      <c r="KT16" s="13">
        <f t="shared" si="71"/>
        <v>3303344.6959665464</v>
      </c>
      <c r="KU16" s="14">
        <v>43179</v>
      </c>
      <c r="KW16" s="65">
        <f t="shared" si="155"/>
        <v>34</v>
      </c>
      <c r="KX16" s="13">
        <f t="shared" si="72"/>
        <v>2985224.8042245056</v>
      </c>
      <c r="KY16" s="14">
        <v>43181</v>
      </c>
      <c r="LA16" s="65">
        <f t="shared" si="156"/>
        <v>71</v>
      </c>
      <c r="LB16" s="13">
        <f t="shared" si="73"/>
        <v>2628138.4307869831</v>
      </c>
      <c r="LC16" s="14">
        <v>43193</v>
      </c>
      <c r="LE16" s="65">
        <f t="shared" si="157"/>
        <v>12</v>
      </c>
      <c r="LF16" s="13">
        <f t="shared" si="74"/>
        <v>994281.815888657</v>
      </c>
      <c r="LG16" s="14">
        <v>43196</v>
      </c>
      <c r="LI16" s="65">
        <f t="shared" si="158"/>
        <v>31</v>
      </c>
      <c r="LJ16" s="13">
        <f t="shared" si="75"/>
        <v>2481835.7218023846</v>
      </c>
      <c r="LK16" s="14">
        <v>43200</v>
      </c>
      <c r="LM16" s="65">
        <f t="shared" si="159"/>
        <v>59</v>
      </c>
      <c r="LN16" s="13">
        <f t="shared" si="76"/>
        <v>743043.45848353009</v>
      </c>
      <c r="LO16" s="14">
        <v>43203</v>
      </c>
      <c r="LQ16" s="65">
        <f t="shared" si="160"/>
        <v>28</v>
      </c>
      <c r="LR16" s="13">
        <f t="shared" si="77"/>
        <v>2773484.3072452247</v>
      </c>
      <c r="LS16" s="14">
        <v>43216</v>
      </c>
      <c r="LU16" s="65">
        <f t="shared" si="161"/>
        <v>6</v>
      </c>
      <c r="LV16" s="13">
        <f t="shared" si="78"/>
        <v>832420.60438512312</v>
      </c>
      <c r="LW16" s="14">
        <v>43221</v>
      </c>
      <c r="LY16" s="65">
        <f t="shared" si="162"/>
        <v>31</v>
      </c>
      <c r="LZ16" s="13">
        <f t="shared" si="79"/>
        <v>974939.99172447785</v>
      </c>
      <c r="MA16" s="14">
        <v>43228</v>
      </c>
      <c r="MC16" s="65">
        <f t="shared" si="163"/>
        <v>26</v>
      </c>
      <c r="MD16" s="13">
        <f t="shared" si="80"/>
        <v>2862710.3648745855</v>
      </c>
      <c r="ME16" s="14">
        <v>43230</v>
      </c>
      <c r="MG16" s="65">
        <f t="shared" si="164"/>
        <v>21</v>
      </c>
      <c r="MH16" s="13">
        <f t="shared" si="81"/>
        <v>1771557.8270336818</v>
      </c>
      <c r="MI16" s="14">
        <v>43231</v>
      </c>
      <c r="MK16" s="65">
        <f t="shared" si="165"/>
        <v>15</v>
      </c>
      <c r="ML16" s="13">
        <f t="shared" si="82"/>
        <v>1581923.2113263556</v>
      </c>
      <c r="MM16" s="14">
        <v>43237</v>
      </c>
      <c r="MO16" s="65">
        <f t="shared" si="166"/>
        <v>12</v>
      </c>
      <c r="MP16" s="13">
        <f t="shared" si="83"/>
        <v>1455182.5178369361</v>
      </c>
      <c r="MQ16" s="14">
        <v>43239</v>
      </c>
      <c r="MS16" s="65">
        <f t="shared" si="167"/>
        <v>13</v>
      </c>
      <c r="MT16" s="13">
        <f t="shared" si="84"/>
        <v>1440996.3834877263</v>
      </c>
      <c r="MU16" s="14">
        <v>43242</v>
      </c>
    </row>
    <row r="17" spans="1:359" x14ac:dyDescent="0.25">
      <c r="A17" s="15">
        <f t="shared" si="1"/>
        <v>731547.19081503141</v>
      </c>
      <c r="B17" s="20">
        <v>42711</v>
      </c>
      <c r="D17" s="12">
        <v>159</v>
      </c>
      <c r="E17" s="17">
        <v>1139838.7963069726</v>
      </c>
      <c r="F17" s="14">
        <v>42441</v>
      </c>
      <c r="I17" s="12">
        <v>24</v>
      </c>
      <c r="J17" s="17">
        <v>1191748.3818738409</v>
      </c>
      <c r="K17" s="14">
        <v>42483</v>
      </c>
      <c r="N17" s="12">
        <f t="shared" si="85"/>
        <v>89</v>
      </c>
      <c r="O17" s="13">
        <f t="shared" si="2"/>
        <v>731547.19081503141</v>
      </c>
      <c r="P17" s="14">
        <v>42711</v>
      </c>
      <c r="T17" s="15">
        <f t="shared" si="3"/>
        <v>1534394.1788048605</v>
      </c>
      <c r="U17" s="20">
        <v>42960</v>
      </c>
      <c r="W17" s="12">
        <v>159</v>
      </c>
      <c r="X17" s="17">
        <v>1139838.7963069726</v>
      </c>
      <c r="Y17" s="14">
        <v>42441</v>
      </c>
      <c r="AB17" s="12">
        <v>24</v>
      </c>
      <c r="AC17" s="17">
        <v>1191748.3818738409</v>
      </c>
      <c r="AD17" s="14">
        <v>42483</v>
      </c>
      <c r="AG17" s="12">
        <f t="shared" si="86"/>
        <v>24</v>
      </c>
      <c r="AH17" s="13">
        <f t="shared" si="0"/>
        <v>1534394.1788048605</v>
      </c>
      <c r="AI17" s="14">
        <v>42960</v>
      </c>
      <c r="AK17" s="12">
        <f t="shared" si="87"/>
        <v>31</v>
      </c>
      <c r="AL17" s="13">
        <f t="shared" si="4"/>
        <v>1386605.9318646409</v>
      </c>
      <c r="AM17" s="14">
        <v>42967</v>
      </c>
      <c r="AO17" s="12">
        <f t="shared" si="88"/>
        <v>29</v>
      </c>
      <c r="AP17" s="13">
        <f t="shared" si="5"/>
        <v>3650919.0270878701</v>
      </c>
      <c r="AQ17" s="14">
        <v>42970</v>
      </c>
      <c r="AS17" s="12">
        <f t="shared" si="89"/>
        <v>19</v>
      </c>
      <c r="AT17" s="13">
        <f t="shared" si="6"/>
        <v>1233464.8879847142</v>
      </c>
      <c r="AU17" s="14">
        <v>42970</v>
      </c>
      <c r="AW17" s="65">
        <f t="shared" si="90"/>
        <v>21</v>
      </c>
      <c r="AX17" s="13">
        <f t="shared" si="7"/>
        <v>696929.23926232581</v>
      </c>
      <c r="AY17" s="14">
        <v>42972</v>
      </c>
      <c r="BA17" s="65">
        <f t="shared" si="91"/>
        <v>18</v>
      </c>
      <c r="BB17" s="13">
        <f t="shared" si="8"/>
        <v>617686.52414010058</v>
      </c>
      <c r="BC17" s="14">
        <v>42972</v>
      </c>
      <c r="BE17" s="65">
        <f t="shared" si="92"/>
        <v>25</v>
      </c>
      <c r="BF17" s="13">
        <f t="shared" si="9"/>
        <v>1392595.7138632655</v>
      </c>
      <c r="BG17" s="14">
        <v>42973</v>
      </c>
      <c r="BI17" s="65">
        <f t="shared" si="93"/>
        <v>14</v>
      </c>
      <c r="BJ17" s="13">
        <f t="shared" si="10"/>
        <v>2489392.909906616</v>
      </c>
      <c r="BK17" s="14">
        <v>42977</v>
      </c>
      <c r="BM17" s="65">
        <f t="shared" si="94"/>
        <v>43</v>
      </c>
      <c r="BN17" s="13">
        <f t="shared" si="11"/>
        <v>1862947.8872645774</v>
      </c>
      <c r="BO17" s="14">
        <v>42977</v>
      </c>
      <c r="BQ17" s="65">
        <f t="shared" si="95"/>
        <v>48</v>
      </c>
      <c r="BR17" s="13">
        <f t="shared" si="12"/>
        <v>4288404.4176166495</v>
      </c>
      <c r="BS17" s="14">
        <v>42984</v>
      </c>
      <c r="BU17" s="65">
        <f t="shared" si="96"/>
        <v>17</v>
      </c>
      <c r="BV17" s="13">
        <f t="shared" si="13"/>
        <v>1610499.841584201</v>
      </c>
      <c r="BW17" s="14">
        <v>42993</v>
      </c>
      <c r="BY17" s="65">
        <f t="shared" si="97"/>
        <v>17</v>
      </c>
      <c r="BZ17" s="13">
        <f t="shared" si="14"/>
        <v>1610499.841584201</v>
      </c>
      <c r="CA17" s="14">
        <v>42993</v>
      </c>
      <c r="CC17" s="65">
        <f t="shared" si="98"/>
        <v>25</v>
      </c>
      <c r="CD17" s="13">
        <f t="shared" si="15"/>
        <v>1622608.468860056</v>
      </c>
      <c r="CE17" s="14">
        <v>42994</v>
      </c>
      <c r="CG17" s="65">
        <f t="shared" si="99"/>
        <v>33</v>
      </c>
      <c r="CH17" s="13">
        <f t="shared" si="16"/>
        <v>973000.82092424668</v>
      </c>
      <c r="CI17" s="14">
        <v>42994</v>
      </c>
      <c r="CK17" s="65">
        <f t="shared" si="100"/>
        <v>57</v>
      </c>
      <c r="CL17" s="13">
        <f t="shared" si="17"/>
        <v>800325.42406417045</v>
      </c>
      <c r="CM17" s="14">
        <v>42998</v>
      </c>
      <c r="CO17" s="65">
        <f t="shared" si="101"/>
        <v>14</v>
      </c>
      <c r="CP17" s="13">
        <f t="shared" si="18"/>
        <v>1834615.2344071819</v>
      </c>
      <c r="CQ17" s="14">
        <v>43000</v>
      </c>
      <c r="CS17" s="65">
        <f t="shared" si="102"/>
        <v>10</v>
      </c>
      <c r="CT17" s="13">
        <f t="shared" si="19"/>
        <v>1595766.7099061352</v>
      </c>
      <c r="CU17" s="14">
        <v>43000</v>
      </c>
      <c r="CW17" s="65">
        <f t="shared" si="103"/>
        <v>39</v>
      </c>
      <c r="CX17" s="13">
        <f t="shared" si="20"/>
        <v>2546137.6592105911</v>
      </c>
      <c r="CY17" s="14">
        <v>43002</v>
      </c>
      <c r="DA17" s="65">
        <f t="shared" si="104"/>
        <v>19</v>
      </c>
      <c r="DB17" s="13">
        <f t="shared" si="21"/>
        <v>2811139.0532520469</v>
      </c>
      <c r="DC17" s="14">
        <v>43007</v>
      </c>
      <c r="DE17" s="65">
        <f t="shared" si="105"/>
        <v>38</v>
      </c>
      <c r="DF17" s="13">
        <f t="shared" si="22"/>
        <v>3197597.1741508711</v>
      </c>
      <c r="DG17" s="14">
        <v>43008</v>
      </c>
      <c r="DI17" s="65"/>
      <c r="DJ17" s="13"/>
      <c r="DK17" s="14"/>
      <c r="DM17" s="65">
        <f t="shared" si="107"/>
        <v>11</v>
      </c>
      <c r="DN17" s="13">
        <f t="shared" si="24"/>
        <v>784864.22009197751</v>
      </c>
      <c r="DO17" s="14">
        <v>43015</v>
      </c>
      <c r="DQ17" s="65"/>
      <c r="DR17" s="13"/>
      <c r="DS17" s="14"/>
      <c r="DU17" s="65">
        <f t="shared" si="109"/>
        <v>83</v>
      </c>
      <c r="DV17" s="13">
        <f t="shared" si="26"/>
        <v>2329075.2888930598</v>
      </c>
      <c r="DW17" s="14">
        <v>43019</v>
      </c>
      <c r="DY17" s="65">
        <f t="shared" si="110"/>
        <v>94</v>
      </c>
      <c r="DZ17" s="13">
        <f t="shared" si="27"/>
        <v>791572.57960777695</v>
      </c>
      <c r="EA17" s="14">
        <v>43022</v>
      </c>
      <c r="EC17" s="65">
        <f t="shared" si="111"/>
        <v>19</v>
      </c>
      <c r="ED17" s="13">
        <f t="shared" si="28"/>
        <v>1260905.4614359415</v>
      </c>
      <c r="EE17" s="14">
        <v>43023</v>
      </c>
      <c r="EG17" s="65">
        <f t="shared" si="112"/>
        <v>27</v>
      </c>
      <c r="EH17" s="13">
        <f t="shared" si="29"/>
        <v>1591466.0225014794</v>
      </c>
      <c r="EI17" s="14">
        <v>43028</v>
      </c>
      <c r="EK17" s="65">
        <f t="shared" si="113"/>
        <v>8</v>
      </c>
      <c r="EL17" s="13">
        <f t="shared" si="30"/>
        <v>968639.60402658163</v>
      </c>
      <c r="EM17" s="14">
        <v>43033</v>
      </c>
      <c r="EO17" s="65">
        <f t="shared" si="114"/>
        <v>68</v>
      </c>
      <c r="EP17" s="13">
        <f t="shared" si="31"/>
        <v>1278596.5769055574</v>
      </c>
      <c r="EQ17" s="14">
        <v>43034</v>
      </c>
      <c r="ES17" s="65">
        <f t="shared" si="115"/>
        <v>25</v>
      </c>
      <c r="ET17" s="13">
        <f t="shared" si="32"/>
        <v>1602162.4645305884</v>
      </c>
      <c r="EU17" s="14">
        <v>43034</v>
      </c>
      <c r="EW17" s="65">
        <f t="shared" si="116"/>
        <v>4</v>
      </c>
      <c r="EX17" s="13">
        <f t="shared" si="33"/>
        <v>2391237.0584216896</v>
      </c>
      <c r="EY17" s="14">
        <v>43035</v>
      </c>
      <c r="FA17" s="65">
        <f t="shared" si="117"/>
        <v>67</v>
      </c>
      <c r="FB17" s="13">
        <f t="shared" si="34"/>
        <v>1258168.536493588</v>
      </c>
      <c r="FC17" s="14">
        <v>43041</v>
      </c>
      <c r="FE17" s="65">
        <f t="shared" si="118"/>
        <v>62</v>
      </c>
      <c r="FF17" s="13">
        <f t="shared" si="35"/>
        <v>3149749.6515498506</v>
      </c>
      <c r="FG17" s="14">
        <v>43041</v>
      </c>
      <c r="FI17" s="65">
        <f t="shared" si="119"/>
        <v>59</v>
      </c>
      <c r="FJ17" s="13">
        <f t="shared" si="36"/>
        <v>1739309.7549391366</v>
      </c>
      <c r="FK17" s="14">
        <v>43043</v>
      </c>
      <c r="FM17" s="65">
        <f t="shared" si="120"/>
        <v>25</v>
      </c>
      <c r="FN17" s="13">
        <f t="shared" si="37"/>
        <v>1140155.5222810647</v>
      </c>
      <c r="FO17" s="14">
        <v>43048</v>
      </c>
      <c r="FQ17" s="65">
        <f t="shared" si="121"/>
        <v>21</v>
      </c>
      <c r="FR17" s="13">
        <f t="shared" si="38"/>
        <v>1409408.5049966404</v>
      </c>
      <c r="FS17" s="14">
        <v>43048</v>
      </c>
      <c r="FU17" s="65">
        <f t="shared" si="122"/>
        <v>34</v>
      </c>
      <c r="FV17" s="13">
        <f t="shared" si="39"/>
        <v>1903242.9084977638</v>
      </c>
      <c r="FW17" s="14">
        <v>43050</v>
      </c>
      <c r="FY17" s="65">
        <f t="shared" si="123"/>
        <v>20</v>
      </c>
      <c r="FZ17" s="13">
        <f t="shared" si="40"/>
        <v>3943442.911143281</v>
      </c>
      <c r="GA17" s="14">
        <v>43050</v>
      </c>
      <c r="GC17" s="65">
        <f t="shared" si="124"/>
        <v>24</v>
      </c>
      <c r="GD17" s="13">
        <f t="shared" si="41"/>
        <v>867312.90018169419</v>
      </c>
      <c r="GE17" s="14">
        <v>43051</v>
      </c>
      <c r="GG17" s="65">
        <f t="shared" si="125"/>
        <v>20</v>
      </c>
      <c r="GH17" s="13">
        <f t="shared" si="42"/>
        <v>2839237.2024310753</v>
      </c>
      <c r="GI17" s="14">
        <v>43055</v>
      </c>
      <c r="GK17" s="65">
        <f t="shared" si="126"/>
        <v>11</v>
      </c>
      <c r="GL17" s="13">
        <f t="shared" si="43"/>
        <v>946355.79009066022</v>
      </c>
      <c r="GM17" s="14">
        <v>43072</v>
      </c>
      <c r="GO17" s="65">
        <f t="shared" si="127"/>
        <v>21</v>
      </c>
      <c r="GP17" s="13">
        <f t="shared" si="44"/>
        <v>1256887.0395693735</v>
      </c>
      <c r="GQ17" s="14">
        <v>43075</v>
      </c>
      <c r="GS17" s="65">
        <f t="shared" si="128"/>
        <v>26</v>
      </c>
      <c r="GT17" s="13">
        <f t="shared" si="45"/>
        <v>1547358.7115135749</v>
      </c>
      <c r="GU17" s="14">
        <v>43078</v>
      </c>
      <c r="GW17" s="65">
        <f t="shared" si="129"/>
        <v>26</v>
      </c>
      <c r="GX17" s="13">
        <f t="shared" si="46"/>
        <v>921848.19050619798</v>
      </c>
      <c r="GY17" s="14">
        <v>43079</v>
      </c>
      <c r="HA17" s="65">
        <f t="shared" si="130"/>
        <v>26</v>
      </c>
      <c r="HB17" s="13">
        <f t="shared" si="47"/>
        <v>1536546.5275345752</v>
      </c>
      <c r="HC17" s="14">
        <v>43079</v>
      </c>
      <c r="HE17" s="65">
        <f t="shared" si="131"/>
        <v>21</v>
      </c>
      <c r="HF17" s="13">
        <f t="shared" si="48"/>
        <v>1101073.8614058269</v>
      </c>
      <c r="HG17" s="14">
        <v>43083</v>
      </c>
      <c r="HI17" s="65">
        <f t="shared" si="132"/>
        <v>0</v>
      </c>
      <c r="HJ17" s="13">
        <f>($HK$2/(1+$HK$4*HI17/360))*0</f>
        <v>0</v>
      </c>
      <c r="HK17" s="14">
        <v>43084</v>
      </c>
      <c r="HM17" s="65"/>
      <c r="HN17" s="13"/>
      <c r="HO17" s="14"/>
      <c r="HQ17" s="65">
        <f t="shared" si="134"/>
        <v>23</v>
      </c>
      <c r="HR17" s="13">
        <f t="shared" si="51"/>
        <v>3042803.9401546344</v>
      </c>
      <c r="HS17" s="14">
        <v>43085</v>
      </c>
      <c r="HU17" s="65"/>
      <c r="HV17" s="13"/>
      <c r="HW17" s="14"/>
      <c r="HY17" s="65">
        <f>+HY16-1</f>
        <v>0</v>
      </c>
      <c r="HZ17" s="13">
        <f>($IA$2/(1+$IA$4*HY17/360))*0</f>
        <v>0</v>
      </c>
      <c r="IA17" s="14">
        <v>43089</v>
      </c>
      <c r="IC17" s="65">
        <f t="shared" si="137"/>
        <v>1</v>
      </c>
      <c r="ID17" s="13">
        <f t="shared" si="54"/>
        <v>1219979.1309649989</v>
      </c>
      <c r="IE17" s="14">
        <v>43090</v>
      </c>
      <c r="IG17" s="65">
        <f t="shared" si="138"/>
        <v>24</v>
      </c>
      <c r="IH17" s="13">
        <f t="shared" si="55"/>
        <v>1283606.4246407186</v>
      </c>
      <c r="II17" s="14">
        <v>43100</v>
      </c>
      <c r="IK17" s="65">
        <f t="shared" si="139"/>
        <v>32</v>
      </c>
      <c r="IL17" s="13">
        <f t="shared" si="56"/>
        <v>2580051.1365966359</v>
      </c>
      <c r="IM17" s="14">
        <v>43104</v>
      </c>
      <c r="IO17" s="65">
        <f t="shared" si="140"/>
        <v>24</v>
      </c>
      <c r="IP17" s="13">
        <f t="shared" si="57"/>
        <v>1134095.4489296409</v>
      </c>
      <c r="IQ17" s="14">
        <v>43105</v>
      </c>
      <c r="IS17" s="65">
        <f t="shared" si="141"/>
        <v>21</v>
      </c>
      <c r="IT17" s="13">
        <f t="shared" si="58"/>
        <v>1488553.1160694356</v>
      </c>
      <c r="IU17" s="14">
        <v>43111</v>
      </c>
      <c r="IW17" s="65">
        <f t="shared" si="142"/>
        <v>25</v>
      </c>
      <c r="IX17" s="13">
        <f t="shared" si="59"/>
        <v>1644080.2157264156</v>
      </c>
      <c r="IY17" s="14">
        <v>43111</v>
      </c>
      <c r="JA17" s="65">
        <f t="shared" si="143"/>
        <v>49</v>
      </c>
      <c r="JB17" s="13">
        <f t="shared" si="60"/>
        <v>986187.16439983994</v>
      </c>
      <c r="JC17" s="14">
        <v>43117</v>
      </c>
      <c r="JE17" s="65">
        <f t="shared" si="144"/>
        <v>32</v>
      </c>
      <c r="JF17" s="13">
        <f t="shared" si="61"/>
        <v>1481176.6855803067</v>
      </c>
      <c r="JG17" s="14">
        <v>43128</v>
      </c>
      <c r="JI17" s="65">
        <f t="shared" si="145"/>
        <v>11</v>
      </c>
      <c r="JJ17" s="13">
        <f t="shared" si="62"/>
        <v>993206.75634633272</v>
      </c>
      <c r="JK17" s="14">
        <v>43133</v>
      </c>
      <c r="JM17" s="65">
        <f t="shared" si="146"/>
        <v>20</v>
      </c>
      <c r="JN17" s="13">
        <f t="shared" si="63"/>
        <v>992566.08593904122</v>
      </c>
      <c r="JO17" s="14">
        <v>43133</v>
      </c>
      <c r="JQ17" s="65">
        <f t="shared" si="147"/>
        <v>26</v>
      </c>
      <c r="JR17" s="13">
        <f t="shared" si="64"/>
        <v>1499264.6261349702</v>
      </c>
      <c r="JS17" s="14">
        <v>43134</v>
      </c>
      <c r="JU17" s="65">
        <f t="shared" si="148"/>
        <v>54</v>
      </c>
      <c r="JV17" s="13">
        <f t="shared" si="65"/>
        <v>1649955.1967606787</v>
      </c>
      <c r="JW17" s="14">
        <v>43139</v>
      </c>
      <c r="JY17" s="65">
        <f t="shared" si="149"/>
        <v>32</v>
      </c>
      <c r="JZ17" s="13">
        <f t="shared" si="66"/>
        <v>1481176.6855803067</v>
      </c>
      <c r="KA17" s="14">
        <v>43128</v>
      </c>
      <c r="KC17" s="65">
        <f t="shared" si="150"/>
        <v>11</v>
      </c>
      <c r="KD17" s="13">
        <f t="shared" si="67"/>
        <v>993206.75634633272</v>
      </c>
      <c r="KE17" s="14">
        <v>43133</v>
      </c>
      <c r="KG17" s="65">
        <f t="shared" si="151"/>
        <v>20</v>
      </c>
      <c r="KH17" s="13">
        <f t="shared" si="68"/>
        <v>992566.08593904122</v>
      </c>
      <c r="KI17" s="14">
        <v>43133</v>
      </c>
      <c r="KK17" s="65">
        <f t="shared" si="152"/>
        <v>26</v>
      </c>
      <c r="KL17" s="13">
        <f t="shared" si="69"/>
        <v>1499264.6261349702</v>
      </c>
      <c r="KM17" s="14">
        <v>43134</v>
      </c>
      <c r="KO17" s="65">
        <f t="shared" si="153"/>
        <v>15</v>
      </c>
      <c r="KP17" s="13">
        <f t="shared" si="70"/>
        <v>3313291.2330606384</v>
      </c>
      <c r="KQ17" s="14">
        <v>43177</v>
      </c>
      <c r="KS17" s="65">
        <f t="shared" si="154"/>
        <v>42</v>
      </c>
      <c r="KT17" s="13">
        <f t="shared" si="71"/>
        <v>3303556.2210445772</v>
      </c>
      <c r="KU17" s="14">
        <v>43180</v>
      </c>
      <c r="KW17" s="65">
        <f t="shared" si="155"/>
        <v>33</v>
      </c>
      <c r="KX17" s="13">
        <f t="shared" si="72"/>
        <v>2985409.6965082129</v>
      </c>
      <c r="KY17" s="14">
        <v>43182</v>
      </c>
      <c r="LA17" s="65">
        <f t="shared" si="156"/>
        <v>70</v>
      </c>
      <c r="LB17" s="13">
        <f t="shared" si="73"/>
        <v>2628338.8458392289</v>
      </c>
      <c r="LC17" s="14">
        <v>43194</v>
      </c>
      <c r="LE17" s="65">
        <f t="shared" si="157"/>
        <v>11</v>
      </c>
      <c r="LF17" s="13">
        <f t="shared" si="74"/>
        <v>994371.16007096414</v>
      </c>
      <c r="LG17" s="14">
        <v>43197</v>
      </c>
      <c r="LI17" s="65">
        <f t="shared" si="158"/>
        <v>30</v>
      </c>
      <c r="LJ17" s="13">
        <f t="shared" si="75"/>
        <v>2482006.7868305999</v>
      </c>
      <c r="LK17" s="14">
        <v>43201</v>
      </c>
      <c r="LM17" s="65">
        <f t="shared" si="159"/>
        <v>58</v>
      </c>
      <c r="LN17" s="13">
        <f t="shared" si="76"/>
        <v>743096.43476530968</v>
      </c>
      <c r="LO17" s="14">
        <v>43204</v>
      </c>
      <c r="LQ17" s="65">
        <f t="shared" si="160"/>
        <v>27</v>
      </c>
      <c r="LR17" s="13">
        <f t="shared" si="77"/>
        <v>2773662.394757635</v>
      </c>
      <c r="LS17" s="14">
        <v>43217</v>
      </c>
      <c r="LU17" s="65">
        <f t="shared" si="161"/>
        <v>5</v>
      </c>
      <c r="LV17" s="13">
        <f t="shared" si="78"/>
        <v>832477.86285831104</v>
      </c>
      <c r="LW17" s="14">
        <v>43222</v>
      </c>
      <c r="LY17" s="65">
        <f t="shared" si="162"/>
        <v>30</v>
      </c>
      <c r="LZ17" s="13">
        <f t="shared" si="79"/>
        <v>975006.04594329279</v>
      </c>
      <c r="MA17" s="14">
        <v>43229</v>
      </c>
      <c r="MC17" s="65">
        <f t="shared" si="163"/>
        <v>25</v>
      </c>
      <c r="MD17" s="13">
        <f t="shared" si="80"/>
        <v>2862892.7424942451</v>
      </c>
      <c r="ME17" s="14">
        <v>43231</v>
      </c>
      <c r="MG17" s="65">
        <f t="shared" si="164"/>
        <v>20</v>
      </c>
      <c r="MH17" s="13">
        <f t="shared" si="81"/>
        <v>1771677.7246496074</v>
      </c>
      <c r="MI17" s="14">
        <v>43232</v>
      </c>
      <c r="MK17" s="65">
        <f t="shared" si="165"/>
        <v>14</v>
      </c>
      <c r="ML17" s="13">
        <f t="shared" si="82"/>
        <v>1582025.308261523</v>
      </c>
      <c r="MM17" s="14">
        <v>43238</v>
      </c>
      <c r="MO17" s="65">
        <f t="shared" si="166"/>
        <v>11</v>
      </c>
      <c r="MP17" s="13">
        <f t="shared" si="83"/>
        <v>1455296.0747645486</v>
      </c>
      <c r="MQ17" s="14">
        <v>43240</v>
      </c>
      <c r="MS17" s="65">
        <f t="shared" si="167"/>
        <v>12</v>
      </c>
      <c r="MT17" s="13">
        <f t="shared" si="84"/>
        <v>1441097.1685750971</v>
      </c>
      <c r="MU17" s="14">
        <v>43243</v>
      </c>
    </row>
    <row r="18" spans="1:359" x14ac:dyDescent="0.25">
      <c r="A18" s="15">
        <f t="shared" si="1"/>
        <v>731576.45038158761</v>
      </c>
      <c r="B18" s="20">
        <v>42712</v>
      </c>
      <c r="D18" s="12">
        <v>158</v>
      </c>
      <c r="E18" s="17">
        <v>1139865.9014023929</v>
      </c>
      <c r="F18" s="14">
        <v>42442</v>
      </c>
      <c r="I18" s="12">
        <v>23</v>
      </c>
      <c r="J18" s="17">
        <v>1191762.63202843</v>
      </c>
      <c r="K18" s="14">
        <v>42484</v>
      </c>
      <c r="N18" s="12">
        <f t="shared" si="85"/>
        <v>88</v>
      </c>
      <c r="O18" s="13">
        <f t="shared" si="2"/>
        <v>731576.45038158761</v>
      </c>
      <c r="P18" s="14">
        <v>42712</v>
      </c>
      <c r="T18" s="15">
        <f t="shared" si="3"/>
        <v>1534472.9535381612</v>
      </c>
      <c r="U18" s="20">
        <v>42961</v>
      </c>
      <c r="W18" s="12">
        <v>158</v>
      </c>
      <c r="X18" s="17">
        <v>1139865.9014023929</v>
      </c>
      <c r="Y18" s="14">
        <v>42442</v>
      </c>
      <c r="AB18" s="12">
        <v>23</v>
      </c>
      <c r="AC18" s="17">
        <v>1191762.63202843</v>
      </c>
      <c r="AD18" s="14">
        <v>42484</v>
      </c>
      <c r="AG18" s="12">
        <f t="shared" si="86"/>
        <v>23</v>
      </c>
      <c r="AH18" s="13">
        <f t="shared" si="0"/>
        <v>1534472.9535381612</v>
      </c>
      <c r="AI18" s="14">
        <v>42961</v>
      </c>
      <c r="AK18" s="12">
        <f t="shared" si="87"/>
        <v>30</v>
      </c>
      <c r="AL18" s="13">
        <f t="shared" si="4"/>
        <v>1386675.3234475821</v>
      </c>
      <c r="AM18" s="14">
        <v>42968</v>
      </c>
      <c r="AO18" s="12">
        <f t="shared" si="88"/>
        <v>28</v>
      </c>
      <c r="AP18" s="13">
        <f t="shared" si="5"/>
        <v>3651117.9962513144</v>
      </c>
      <c r="AQ18" s="14">
        <v>42971</v>
      </c>
      <c r="AS18" s="12">
        <f t="shared" si="89"/>
        <v>18</v>
      </c>
      <c r="AT18" s="13">
        <f t="shared" si="6"/>
        <v>1233538.9088210885</v>
      </c>
      <c r="AU18" s="14">
        <v>42971</v>
      </c>
      <c r="AW18" s="65">
        <f t="shared" si="90"/>
        <v>20</v>
      </c>
      <c r="AX18" s="13">
        <f t="shared" si="7"/>
        <v>696966.22991444776</v>
      </c>
      <c r="AY18" s="14">
        <v>42973</v>
      </c>
      <c r="BA18" s="65">
        <f t="shared" si="91"/>
        <v>17</v>
      </c>
      <c r="BB18" s="13">
        <f t="shared" si="8"/>
        <v>617723.49671737803</v>
      </c>
      <c r="BC18" s="14">
        <v>42973</v>
      </c>
      <c r="BE18" s="65">
        <f t="shared" si="92"/>
        <v>24</v>
      </c>
      <c r="BF18" s="13">
        <f t="shared" si="9"/>
        <v>1392675.458820055</v>
      </c>
      <c r="BG18" s="14">
        <v>42974</v>
      </c>
      <c r="BI18" s="65">
        <f t="shared" si="93"/>
        <v>13</v>
      </c>
      <c r="BJ18" s="13">
        <f t="shared" si="10"/>
        <v>2489524.8775956584</v>
      </c>
      <c r="BK18" s="14">
        <v>42978</v>
      </c>
      <c r="BM18" s="65">
        <f t="shared" si="94"/>
        <v>42</v>
      </c>
      <c r="BN18" s="13">
        <f t="shared" si="11"/>
        <v>1863046.790551319</v>
      </c>
      <c r="BO18" s="14">
        <v>42978</v>
      </c>
      <c r="BQ18" s="65">
        <f t="shared" si="95"/>
        <v>47</v>
      </c>
      <c r="BR18" s="13">
        <f t="shared" si="12"/>
        <v>4288703.5291668093</v>
      </c>
      <c r="BS18" s="14">
        <v>42985</v>
      </c>
      <c r="BU18" s="65">
        <f t="shared" si="96"/>
        <v>16</v>
      </c>
      <c r="BV18" s="13">
        <f t="shared" si="13"/>
        <v>1610573.8787579751</v>
      </c>
      <c r="BW18" s="14">
        <v>42994</v>
      </c>
      <c r="BY18" s="65">
        <f t="shared" si="97"/>
        <v>16</v>
      </c>
      <c r="BZ18" s="13">
        <f t="shared" si="14"/>
        <v>1610573.8787579751</v>
      </c>
      <c r="CA18" s="14">
        <v>42994</v>
      </c>
      <c r="CC18" s="65">
        <f t="shared" si="98"/>
        <v>24</v>
      </c>
      <c r="CD18" s="13">
        <f t="shared" si="15"/>
        <v>1622679.2028882285</v>
      </c>
      <c r="CE18" s="14">
        <v>42995</v>
      </c>
      <c r="CG18" s="65">
        <f t="shared" si="99"/>
        <v>32</v>
      </c>
      <c r="CH18" s="13">
        <f t="shared" si="16"/>
        <v>973043.80889988295</v>
      </c>
      <c r="CI18" s="14">
        <v>42995</v>
      </c>
      <c r="CK18" s="65">
        <f t="shared" si="100"/>
        <v>56</v>
      </c>
      <c r="CL18" s="13">
        <f t="shared" si="17"/>
        <v>800363.09001201834</v>
      </c>
      <c r="CM18" s="14">
        <v>42999</v>
      </c>
      <c r="CO18" s="65">
        <f t="shared" si="101"/>
        <v>13</v>
      </c>
      <c r="CP18" s="13">
        <f t="shared" si="18"/>
        <v>1834687.2431492477</v>
      </c>
      <c r="CQ18" s="14">
        <v>43001</v>
      </c>
      <c r="CS18" s="65">
        <f t="shared" si="102"/>
        <v>9</v>
      </c>
      <c r="CT18" s="13">
        <f t="shared" si="19"/>
        <v>1595827.3217980247</v>
      </c>
      <c r="CU18" s="14">
        <v>43001</v>
      </c>
      <c r="CW18" s="65">
        <f t="shared" si="103"/>
        <v>38</v>
      </c>
      <c r="CX18" s="13">
        <f t="shared" si="20"/>
        <v>2546251.1952832961</v>
      </c>
      <c r="CY18" s="14">
        <v>43003</v>
      </c>
      <c r="DA18" s="65">
        <f t="shared" si="104"/>
        <v>18</v>
      </c>
      <c r="DB18" s="13">
        <f t="shared" si="21"/>
        <v>2811265.8452195534</v>
      </c>
      <c r="DC18" s="14">
        <v>43008</v>
      </c>
      <c r="DE18" s="65">
        <f t="shared" si="105"/>
        <v>37</v>
      </c>
      <c r="DF18" s="13">
        <f t="shared" si="22"/>
        <v>3197754.5409094519</v>
      </c>
      <c r="DG18" s="14">
        <v>43009</v>
      </c>
      <c r="DI18" s="65"/>
      <c r="DJ18" s="13"/>
      <c r="DK18" s="14"/>
      <c r="DM18" s="65">
        <f t="shared" si="107"/>
        <v>10</v>
      </c>
      <c r="DN18" s="13">
        <f t="shared" si="24"/>
        <v>784902.62332807202</v>
      </c>
      <c r="DO18" s="14">
        <v>43016</v>
      </c>
      <c r="DQ18" s="65"/>
      <c r="DR18" s="13"/>
      <c r="DS18" s="14"/>
      <c r="DU18" s="65">
        <f t="shared" si="109"/>
        <v>82</v>
      </c>
      <c r="DV18" s="13">
        <f t="shared" si="26"/>
        <v>2329189.9918982103</v>
      </c>
      <c r="DW18" s="14">
        <v>43020</v>
      </c>
      <c r="DY18" s="65">
        <f t="shared" si="110"/>
        <v>93</v>
      </c>
      <c r="DZ18" s="13">
        <f t="shared" si="27"/>
        <v>791613.96341076889</v>
      </c>
      <c r="EA18" s="14">
        <v>43023</v>
      </c>
      <c r="EC18" s="65">
        <f t="shared" si="111"/>
        <v>18</v>
      </c>
      <c r="ED18" s="13">
        <f t="shared" si="28"/>
        <v>1260966.6223586653</v>
      </c>
      <c r="EE18" s="14">
        <v>43024</v>
      </c>
      <c r="EG18" s="65">
        <f t="shared" si="112"/>
        <v>26</v>
      </c>
      <c r="EH18" s="13">
        <f t="shared" si="29"/>
        <v>1591551.5275831644</v>
      </c>
      <c r="EI18" s="14">
        <v>43029</v>
      </c>
      <c r="EK18" s="65">
        <f t="shared" si="113"/>
        <v>7</v>
      </c>
      <c r="EL18" s="13">
        <f t="shared" si="30"/>
        <v>968687.58044701093</v>
      </c>
      <c r="EM18" s="14">
        <v>43034</v>
      </c>
      <c r="EO18" s="65">
        <f t="shared" si="114"/>
        <v>67</v>
      </c>
      <c r="EP18" s="13">
        <f t="shared" si="31"/>
        <v>1278671.2901940665</v>
      </c>
      <c r="EQ18" s="14">
        <v>43035</v>
      </c>
      <c r="ES18" s="65">
        <f t="shared" si="115"/>
        <v>24</v>
      </c>
      <c r="ET18" s="13">
        <f t="shared" si="32"/>
        <v>1602255.5390724568</v>
      </c>
      <c r="EU18" s="14">
        <v>43035</v>
      </c>
      <c r="EW18" s="65">
        <f t="shared" si="116"/>
        <v>3</v>
      </c>
      <c r="EX18" s="13">
        <f t="shared" si="33"/>
        <v>2391332.72316969</v>
      </c>
      <c r="EY18" s="14">
        <v>43036</v>
      </c>
      <c r="FA18" s="65">
        <f t="shared" si="117"/>
        <v>66</v>
      </c>
      <c r="FB18" s="13">
        <f t="shared" si="34"/>
        <v>1258243.403960801</v>
      </c>
      <c r="FC18" s="14">
        <v>43042</v>
      </c>
      <c r="FE18" s="65">
        <f t="shared" si="118"/>
        <v>61</v>
      </c>
      <c r="FF18" s="13">
        <f t="shared" si="35"/>
        <v>3149925.7656945107</v>
      </c>
      <c r="FG18" s="14">
        <v>43042</v>
      </c>
      <c r="FI18" s="65">
        <f t="shared" si="119"/>
        <v>58</v>
      </c>
      <c r="FJ18" s="13">
        <f t="shared" si="36"/>
        <v>1739415.7967665354</v>
      </c>
      <c r="FK18" s="14">
        <v>43044</v>
      </c>
      <c r="FM18" s="65">
        <f t="shared" si="120"/>
        <v>24</v>
      </c>
      <c r="FN18" s="13">
        <f t="shared" si="37"/>
        <v>1140223.2071359521</v>
      </c>
      <c r="FO18" s="14">
        <v>43049</v>
      </c>
      <c r="FQ18" s="65">
        <f t="shared" si="121"/>
        <v>20</v>
      </c>
      <c r="FR18" s="13">
        <f t="shared" si="38"/>
        <v>1409491.0939191733</v>
      </c>
      <c r="FS18" s="14">
        <v>43049</v>
      </c>
      <c r="FU18" s="65">
        <f t="shared" si="122"/>
        <v>33</v>
      </c>
      <c r="FV18" s="13">
        <f t="shared" si="39"/>
        <v>1903355.5783239822</v>
      </c>
      <c r="FW18" s="14">
        <v>43051</v>
      </c>
      <c r="FY18" s="65">
        <f t="shared" si="123"/>
        <v>19</v>
      </c>
      <c r="FZ18" s="13">
        <f t="shared" si="40"/>
        <v>3943664.9217445618</v>
      </c>
      <c r="GA18" s="14">
        <v>43051</v>
      </c>
      <c r="GC18" s="65">
        <f t="shared" si="124"/>
        <v>23</v>
      </c>
      <c r="GD18" s="13">
        <f t="shared" si="41"/>
        <v>867361.48629304825</v>
      </c>
      <c r="GE18" s="14">
        <v>43052</v>
      </c>
      <c r="GG18" s="65">
        <f t="shared" si="125"/>
        <v>19</v>
      </c>
      <c r="GH18" s="13">
        <f t="shared" si="42"/>
        <v>2839392.4119459926</v>
      </c>
      <c r="GI18" s="14">
        <v>43056</v>
      </c>
      <c r="GK18" s="65">
        <f t="shared" si="126"/>
        <v>10</v>
      </c>
      <c r="GL18" s="13">
        <f t="shared" si="43"/>
        <v>946425.13865964964</v>
      </c>
      <c r="GM18" s="14">
        <v>43073</v>
      </c>
      <c r="GO18" s="65">
        <f t="shared" si="127"/>
        <v>20</v>
      </c>
      <c r="GP18" s="13">
        <f t="shared" si="44"/>
        <v>1256989.8413129139</v>
      </c>
      <c r="GQ18" s="14">
        <v>43076</v>
      </c>
      <c r="GS18" s="65">
        <f t="shared" si="128"/>
        <v>25</v>
      </c>
      <c r="GT18" s="13">
        <f t="shared" si="45"/>
        <v>1547483.2774350648</v>
      </c>
      <c r="GU18" s="14">
        <v>43079</v>
      </c>
      <c r="GW18" s="65">
        <f t="shared" si="129"/>
        <v>25</v>
      </c>
      <c r="GX18" s="13">
        <f t="shared" si="46"/>
        <v>921919.36102220905</v>
      </c>
      <c r="GY18" s="14">
        <v>43080</v>
      </c>
      <c r="HA18" s="65">
        <f t="shared" si="130"/>
        <v>25</v>
      </c>
      <c r="HB18" s="13">
        <f t="shared" si="47"/>
        <v>1536660.0532979856</v>
      </c>
      <c r="HC18" s="14">
        <v>43080</v>
      </c>
      <c r="HE18" s="65">
        <f t="shared" si="131"/>
        <v>20</v>
      </c>
      <c r="HF18" s="13">
        <f t="shared" si="48"/>
        <v>1101157.0243266812</v>
      </c>
      <c r="HG18" s="14">
        <v>43084</v>
      </c>
      <c r="HI18" s="65"/>
      <c r="HJ18" s="13"/>
      <c r="HK18" s="14"/>
      <c r="HM18" s="65"/>
      <c r="HN18" s="13"/>
      <c r="HO18" s="14"/>
      <c r="HQ18" s="65">
        <f t="shared" si="134"/>
        <v>22</v>
      </c>
      <c r="HR18" s="13">
        <f t="shared" si="51"/>
        <v>3043077.3945914363</v>
      </c>
      <c r="HS18" s="14">
        <v>43086</v>
      </c>
      <c r="HU18" s="65"/>
      <c r="HV18" s="13"/>
      <c r="HW18" s="14"/>
      <c r="HY18" s="65"/>
      <c r="HZ18" s="13"/>
      <c r="IA18" s="14"/>
      <c r="IC18" s="65"/>
      <c r="ID18" s="13">
        <f>($IE$2/(1+$IE$4*IC18/360))*0</f>
        <v>0</v>
      </c>
      <c r="IE18" s="14">
        <v>43091</v>
      </c>
      <c r="IG18" s="65">
        <f t="shared" si="138"/>
        <v>23</v>
      </c>
      <c r="IH18" s="13">
        <f t="shared" si="55"/>
        <v>1283713.1872145059</v>
      </c>
      <c r="II18" s="14">
        <v>43101</v>
      </c>
      <c r="IK18" s="65">
        <f t="shared" si="139"/>
        <v>31</v>
      </c>
      <c r="IL18" s="13">
        <f t="shared" si="56"/>
        <v>2580268.6338578025</v>
      </c>
      <c r="IM18" s="14">
        <v>43105</v>
      </c>
      <c r="IO18" s="65">
        <f t="shared" si="140"/>
        <v>23</v>
      </c>
      <c r="IP18" s="13">
        <f t="shared" si="57"/>
        <v>1134189.7760899945</v>
      </c>
      <c r="IQ18" s="14">
        <v>43106</v>
      </c>
      <c r="IS18" s="65">
        <f t="shared" si="141"/>
        <v>20</v>
      </c>
      <c r="IT18" s="13">
        <f t="shared" si="58"/>
        <v>1488646.7133367183</v>
      </c>
      <c r="IU18" s="14">
        <v>43112</v>
      </c>
      <c r="IW18" s="65">
        <f t="shared" si="142"/>
        <v>24</v>
      </c>
      <c r="IX18" s="13">
        <f t="shared" si="59"/>
        <v>1644182.1606478826</v>
      </c>
      <c r="IY18" s="14">
        <v>43112</v>
      </c>
      <c r="JA18" s="65">
        <f t="shared" si="143"/>
        <v>48</v>
      </c>
      <c r="JB18" s="13">
        <f t="shared" si="60"/>
        <v>986239.55937743862</v>
      </c>
      <c r="JC18" s="14">
        <v>43118</v>
      </c>
      <c r="JE18" s="65">
        <f t="shared" si="144"/>
        <v>31</v>
      </c>
      <c r="JF18" s="13">
        <f t="shared" si="61"/>
        <v>1481252.4860831758</v>
      </c>
      <c r="JG18" s="14">
        <v>43129</v>
      </c>
      <c r="JI18" s="65">
        <f t="shared" si="145"/>
        <v>10</v>
      </c>
      <c r="JJ18" s="13">
        <f t="shared" si="62"/>
        <v>993258.14807391376</v>
      </c>
      <c r="JK18" s="14">
        <v>43134</v>
      </c>
      <c r="JM18" s="65">
        <f t="shared" si="146"/>
        <v>19</v>
      </c>
      <c r="JN18" s="13">
        <f t="shared" si="63"/>
        <v>992618.94028455706</v>
      </c>
      <c r="JO18" s="14">
        <v>43134</v>
      </c>
      <c r="JQ18" s="65">
        <f t="shared" si="147"/>
        <v>25</v>
      </c>
      <c r="JR18" s="13">
        <f t="shared" si="64"/>
        <v>1499351.4971226184</v>
      </c>
      <c r="JS18" s="14">
        <v>43135</v>
      </c>
      <c r="JU18" s="65">
        <f t="shared" si="148"/>
        <v>53</v>
      </c>
      <c r="JV18" s="13">
        <f t="shared" si="65"/>
        <v>1650057.3952189942</v>
      </c>
      <c r="JW18" s="14">
        <v>43140</v>
      </c>
      <c r="JY18" s="65">
        <f t="shared" si="149"/>
        <v>31</v>
      </c>
      <c r="JZ18" s="13">
        <f t="shared" si="66"/>
        <v>1481252.4860831758</v>
      </c>
      <c r="KA18" s="14">
        <v>43129</v>
      </c>
      <c r="KC18" s="65">
        <f t="shared" si="150"/>
        <v>10</v>
      </c>
      <c r="KD18" s="13">
        <f t="shared" si="67"/>
        <v>993258.14807391376</v>
      </c>
      <c r="KE18" s="14">
        <v>43134</v>
      </c>
      <c r="KG18" s="65">
        <f t="shared" si="151"/>
        <v>19</v>
      </c>
      <c r="KH18" s="13">
        <f t="shared" si="68"/>
        <v>992618.94028455706</v>
      </c>
      <c r="KI18" s="14">
        <v>43134</v>
      </c>
      <c r="KK18" s="65">
        <f t="shared" si="152"/>
        <v>25</v>
      </c>
      <c r="KL18" s="13">
        <f t="shared" si="69"/>
        <v>1499351.4971226184</v>
      </c>
      <c r="KM18" s="14">
        <v>43135</v>
      </c>
      <c r="KO18" s="65">
        <f t="shared" si="153"/>
        <v>14</v>
      </c>
      <c r="KP18" s="13">
        <f t="shared" si="70"/>
        <v>3313525.2252013106</v>
      </c>
      <c r="KQ18" s="14">
        <v>43178</v>
      </c>
      <c r="KS18" s="65">
        <f t="shared" si="154"/>
        <v>41</v>
      </c>
      <c r="KT18" s="13">
        <f t="shared" si="71"/>
        <v>3303767.7732137698</v>
      </c>
      <c r="KU18" s="14">
        <v>43181</v>
      </c>
      <c r="KW18" s="65">
        <f t="shared" si="155"/>
        <v>32</v>
      </c>
      <c r="KX18" s="13">
        <f t="shared" si="72"/>
        <v>2985594.6116962419</v>
      </c>
      <c r="KY18" s="14">
        <v>43183</v>
      </c>
      <c r="LA18" s="65">
        <f t="shared" si="156"/>
        <v>69</v>
      </c>
      <c r="LB18" s="13">
        <f t="shared" si="73"/>
        <v>2628539.2914600759</v>
      </c>
      <c r="LC18" s="14">
        <v>43195</v>
      </c>
      <c r="LE18" s="65">
        <f t="shared" si="157"/>
        <v>10</v>
      </c>
      <c r="LF18" s="13">
        <f t="shared" si="74"/>
        <v>994460.52031129412</v>
      </c>
      <c r="LG18" s="14">
        <v>43198</v>
      </c>
      <c r="LI18" s="65">
        <f t="shared" si="158"/>
        <v>29</v>
      </c>
      <c r="LJ18" s="13">
        <f t="shared" si="75"/>
        <v>2482177.8754423745</v>
      </c>
      <c r="LK18" s="14">
        <v>43202</v>
      </c>
      <c r="LM18" s="65">
        <f t="shared" si="159"/>
        <v>57</v>
      </c>
      <c r="LN18" s="13">
        <f t="shared" si="76"/>
        <v>743149.41860165843</v>
      </c>
      <c r="LO18" s="14">
        <v>43205</v>
      </c>
      <c r="LQ18" s="65">
        <f t="shared" si="160"/>
        <v>26</v>
      </c>
      <c r="LR18" s="13">
        <f t="shared" si="77"/>
        <v>2773840.5051417798</v>
      </c>
      <c r="LS18" s="14">
        <v>43218</v>
      </c>
      <c r="LU18" s="65">
        <f t="shared" si="161"/>
        <v>4</v>
      </c>
      <c r="LV18" s="13">
        <f t="shared" si="78"/>
        <v>832535.12920914672</v>
      </c>
      <c r="LW18" s="14">
        <v>43223</v>
      </c>
      <c r="LY18" s="65">
        <f t="shared" si="162"/>
        <v>29</v>
      </c>
      <c r="LZ18" s="13">
        <f t="shared" si="79"/>
        <v>975072.10911333677</v>
      </c>
      <c r="MA18" s="14">
        <v>43230</v>
      </c>
      <c r="MC18" s="65">
        <f t="shared" si="163"/>
        <v>24</v>
      </c>
      <c r="MD18" s="13">
        <f t="shared" si="80"/>
        <v>2863075.1433532205</v>
      </c>
      <c r="ME18" s="14">
        <v>43232</v>
      </c>
      <c r="MG18" s="65">
        <f t="shared" si="164"/>
        <v>19</v>
      </c>
      <c r="MH18" s="13">
        <f t="shared" si="81"/>
        <v>1771797.6384957808</v>
      </c>
      <c r="MI18" s="14">
        <v>43233</v>
      </c>
      <c r="MK18" s="65">
        <f t="shared" si="165"/>
        <v>13</v>
      </c>
      <c r="ML18" s="13">
        <f t="shared" si="82"/>
        <v>1582127.4183761631</v>
      </c>
      <c r="MM18" s="14">
        <v>43239</v>
      </c>
      <c r="MO18" s="65">
        <f t="shared" si="166"/>
        <v>10</v>
      </c>
      <c r="MP18" s="13">
        <f t="shared" si="83"/>
        <v>1455409.6494166488</v>
      </c>
      <c r="MQ18" s="14">
        <v>43241</v>
      </c>
      <c r="MS18" s="65">
        <f t="shared" si="167"/>
        <v>11</v>
      </c>
      <c r="MT18" s="13">
        <f t="shared" si="84"/>
        <v>1441197.9677615238</v>
      </c>
      <c r="MU18" s="14">
        <v>43244</v>
      </c>
    </row>
    <row r="19" spans="1:359" x14ac:dyDescent="0.25">
      <c r="A19" s="15">
        <f t="shared" si="1"/>
        <v>731605.71228881704</v>
      </c>
      <c r="B19" s="20">
        <v>42713</v>
      </c>
      <c r="D19" s="12">
        <v>157</v>
      </c>
      <c r="E19" s="17">
        <v>1139893.0077869489</v>
      </c>
      <c r="F19" s="14">
        <v>42443</v>
      </c>
      <c r="I19" s="12">
        <v>22</v>
      </c>
      <c r="J19" s="17">
        <v>1191776.8825238117</v>
      </c>
      <c r="K19" s="14">
        <v>42485</v>
      </c>
      <c r="N19" s="12">
        <f t="shared" si="85"/>
        <v>87</v>
      </c>
      <c r="O19" s="13">
        <f t="shared" si="2"/>
        <v>731605.71228881704</v>
      </c>
      <c r="P19" s="14">
        <v>42713</v>
      </c>
      <c r="T19" s="15">
        <f t="shared" si="3"/>
        <v>1534551.7363603576</v>
      </c>
      <c r="U19" s="20">
        <v>42962</v>
      </c>
      <c r="W19" s="12">
        <v>157</v>
      </c>
      <c r="X19" s="17">
        <v>1139893.0077869489</v>
      </c>
      <c r="Y19" s="14">
        <v>42443</v>
      </c>
      <c r="AB19" s="12">
        <v>22</v>
      </c>
      <c r="AC19" s="17">
        <v>1191776.8825238117</v>
      </c>
      <c r="AD19" s="14">
        <v>42485</v>
      </c>
      <c r="AG19" s="12">
        <f t="shared" si="86"/>
        <v>22</v>
      </c>
      <c r="AH19" s="13">
        <f t="shared" si="0"/>
        <v>1534551.7363603576</v>
      </c>
      <c r="AI19" s="14">
        <v>42962</v>
      </c>
      <c r="AK19" s="12">
        <f t="shared" si="87"/>
        <v>29</v>
      </c>
      <c r="AL19" s="13">
        <f t="shared" si="4"/>
        <v>1386744.7219761629</v>
      </c>
      <c r="AM19" s="14">
        <v>42969</v>
      </c>
      <c r="AO19" s="12">
        <f t="shared" si="88"/>
        <v>27</v>
      </c>
      <c r="AP19" s="13">
        <f t="shared" si="5"/>
        <v>3651316.9871029332</v>
      </c>
      <c r="AQ19" s="14">
        <v>42972</v>
      </c>
      <c r="AS19" s="12">
        <f t="shared" si="89"/>
        <v>17</v>
      </c>
      <c r="AT19" s="13">
        <f t="shared" si="6"/>
        <v>1233612.9385420496</v>
      </c>
      <c r="AU19" s="14">
        <v>42972</v>
      </c>
      <c r="AW19" s="65">
        <f t="shared" si="90"/>
        <v>19</v>
      </c>
      <c r="AX19" s="13">
        <f t="shared" si="7"/>
        <v>697003.22449345607</v>
      </c>
      <c r="AY19" s="14">
        <v>42974</v>
      </c>
      <c r="BA19" s="65">
        <f t="shared" si="91"/>
        <v>16</v>
      </c>
      <c r="BB19" s="13">
        <f t="shared" si="8"/>
        <v>617760.47372102155</v>
      </c>
      <c r="BC19" s="14">
        <v>42974</v>
      </c>
      <c r="BE19" s="65">
        <f t="shared" si="92"/>
        <v>23</v>
      </c>
      <c r="BF19" s="13">
        <f t="shared" si="9"/>
        <v>1392755.2129103241</v>
      </c>
      <c r="BG19" s="14">
        <v>42975</v>
      </c>
      <c r="BI19" s="65">
        <f t="shared" si="93"/>
        <v>12</v>
      </c>
      <c r="BJ19" s="13">
        <f t="shared" si="10"/>
        <v>2489656.8592771837</v>
      </c>
      <c r="BK19" s="14">
        <v>42979</v>
      </c>
      <c r="BM19" s="65">
        <f t="shared" si="94"/>
        <v>41</v>
      </c>
      <c r="BN19" s="13">
        <f t="shared" si="11"/>
        <v>1863145.7043401035</v>
      </c>
      <c r="BO19" s="14">
        <v>42979</v>
      </c>
      <c r="BQ19" s="65">
        <f t="shared" si="95"/>
        <v>46</v>
      </c>
      <c r="BR19" s="13">
        <f t="shared" si="12"/>
        <v>4289002.6824452924</v>
      </c>
      <c r="BS19" s="14">
        <v>42986</v>
      </c>
      <c r="BU19" s="65">
        <f t="shared" si="96"/>
        <v>15</v>
      </c>
      <c r="BV19" s="13">
        <f t="shared" si="13"/>
        <v>1610647.9227392692</v>
      </c>
      <c r="BW19" s="14">
        <v>42995</v>
      </c>
      <c r="BY19" s="65">
        <f t="shared" si="97"/>
        <v>15</v>
      </c>
      <c r="BZ19" s="13">
        <f t="shared" si="14"/>
        <v>1610647.9227392692</v>
      </c>
      <c r="CA19" s="14">
        <v>42995</v>
      </c>
      <c r="CC19" s="65">
        <f t="shared" si="98"/>
        <v>23</v>
      </c>
      <c r="CD19" s="13">
        <f t="shared" si="15"/>
        <v>1622749.9430836567</v>
      </c>
      <c r="CE19" s="14">
        <v>42996</v>
      </c>
      <c r="CG19" s="65">
        <f t="shared" si="99"/>
        <v>31</v>
      </c>
      <c r="CH19" s="13">
        <f t="shared" si="16"/>
        <v>973086.80067417549</v>
      </c>
      <c r="CI19" s="14">
        <v>42996</v>
      </c>
      <c r="CK19" s="65">
        <f t="shared" si="100"/>
        <v>55</v>
      </c>
      <c r="CL19" s="13">
        <f t="shared" si="17"/>
        <v>800400.75950539974</v>
      </c>
      <c r="CM19" s="14">
        <v>43000</v>
      </c>
      <c r="CO19" s="65">
        <f t="shared" si="101"/>
        <v>12</v>
      </c>
      <c r="CP19" s="13">
        <f t="shared" si="18"/>
        <v>1834759.2575442288</v>
      </c>
      <c r="CQ19" s="14">
        <v>43002</v>
      </c>
      <c r="CS19" s="65">
        <f t="shared" si="102"/>
        <v>8</v>
      </c>
      <c r="CT19" s="13">
        <f t="shared" si="19"/>
        <v>1595887.9382945232</v>
      </c>
      <c r="CU19" s="14">
        <v>43002</v>
      </c>
      <c r="CW19" s="65">
        <f t="shared" si="103"/>
        <v>37</v>
      </c>
      <c r="CX19" s="13">
        <f t="shared" si="20"/>
        <v>2546364.741481937</v>
      </c>
      <c r="CY19" s="14">
        <v>43004</v>
      </c>
      <c r="DA19" s="65">
        <f t="shared" si="104"/>
        <v>17</v>
      </c>
      <c r="DB19" s="13">
        <f t="shared" si="21"/>
        <v>2811392.6486250777</v>
      </c>
      <c r="DC19" s="14">
        <v>43009</v>
      </c>
      <c r="DE19" s="65">
        <f t="shared" si="105"/>
        <v>36</v>
      </c>
      <c r="DF19" s="13">
        <f t="shared" si="22"/>
        <v>3197911.923158112</v>
      </c>
      <c r="DG19" s="14">
        <v>43010</v>
      </c>
      <c r="DI19" s="65"/>
      <c r="DJ19" s="13"/>
      <c r="DK19" s="14"/>
      <c r="DM19" s="65">
        <f t="shared" si="107"/>
        <v>9</v>
      </c>
      <c r="DN19" s="13">
        <f t="shared" si="24"/>
        <v>784941.03032247443</v>
      </c>
      <c r="DO19" s="14">
        <v>43017</v>
      </c>
      <c r="DQ19" s="65"/>
      <c r="DR19" s="13"/>
      <c r="DS19" s="14"/>
      <c r="DU19" s="65">
        <f t="shared" si="109"/>
        <v>81</v>
      </c>
      <c r="DV19" s="13">
        <f t="shared" si="26"/>
        <v>2329304.7062017736</v>
      </c>
      <c r="DW19" s="14">
        <v>43021</v>
      </c>
      <c r="DY19" s="65">
        <f t="shared" si="110"/>
        <v>92</v>
      </c>
      <c r="DZ19" s="13">
        <f t="shared" si="27"/>
        <v>791655.351541118</v>
      </c>
      <c r="EA19" s="14">
        <v>43024</v>
      </c>
      <c r="EC19" s="65">
        <f t="shared" si="111"/>
        <v>17</v>
      </c>
      <c r="ED19" s="13">
        <f t="shared" si="28"/>
        <v>1261027.7892149666</v>
      </c>
      <c r="EE19" s="14">
        <v>43025</v>
      </c>
      <c r="EG19" s="65">
        <f t="shared" si="112"/>
        <v>25</v>
      </c>
      <c r="EH19" s="13">
        <f t="shared" si="29"/>
        <v>1591637.0418532479</v>
      </c>
      <c r="EI19" s="14">
        <v>43030</v>
      </c>
      <c r="EK19" s="65">
        <f t="shared" si="113"/>
        <v>6</v>
      </c>
      <c r="EL19" s="13">
        <f t="shared" si="30"/>
        <v>968735.56162019039</v>
      </c>
      <c r="EM19" s="14">
        <v>43035</v>
      </c>
      <c r="EO19" s="65">
        <f t="shared" si="114"/>
        <v>66</v>
      </c>
      <c r="EP19" s="13">
        <f t="shared" si="31"/>
        <v>1278746.0122146523</v>
      </c>
      <c r="EQ19" s="14">
        <v>43036</v>
      </c>
      <c r="ES19" s="65">
        <f t="shared" si="115"/>
        <v>23</v>
      </c>
      <c r="ET19" s="13">
        <f t="shared" si="32"/>
        <v>1602348.6244289256</v>
      </c>
      <c r="EU19" s="14">
        <v>43036</v>
      </c>
      <c r="EW19" s="65">
        <f t="shared" si="116"/>
        <v>2</v>
      </c>
      <c r="EX19" s="13">
        <f t="shared" si="33"/>
        <v>2391428.3955723979</v>
      </c>
      <c r="EY19" s="14">
        <v>43037</v>
      </c>
      <c r="FA19" s="65">
        <f t="shared" si="117"/>
        <v>65</v>
      </c>
      <c r="FB19" s="13">
        <f t="shared" si="34"/>
        <v>1258318.2803385388</v>
      </c>
      <c r="FC19" s="14">
        <v>43043</v>
      </c>
      <c r="FE19" s="65">
        <f t="shared" si="118"/>
        <v>60</v>
      </c>
      <c r="FF19" s="13">
        <f t="shared" si="35"/>
        <v>3150101.8995346576</v>
      </c>
      <c r="FG19" s="14">
        <v>43043</v>
      </c>
      <c r="FI19" s="65">
        <f t="shared" si="119"/>
        <v>57</v>
      </c>
      <c r="FJ19" s="13">
        <f t="shared" si="36"/>
        <v>1739521.8515249889</v>
      </c>
      <c r="FK19" s="14">
        <v>43045</v>
      </c>
      <c r="FM19" s="65">
        <f t="shared" si="120"/>
        <v>23</v>
      </c>
      <c r="FN19" s="13">
        <f t="shared" si="37"/>
        <v>1140290.900027483</v>
      </c>
      <c r="FO19" s="14">
        <v>43050</v>
      </c>
      <c r="FQ19" s="65">
        <f t="shared" si="121"/>
        <v>19</v>
      </c>
      <c r="FR19" s="13">
        <f t="shared" si="38"/>
        <v>1409573.6925214119</v>
      </c>
      <c r="FS19" s="14">
        <v>43050</v>
      </c>
      <c r="FU19" s="65">
        <f t="shared" si="122"/>
        <v>32</v>
      </c>
      <c r="FV19" s="13">
        <f t="shared" si="39"/>
        <v>1903468.261490843</v>
      </c>
      <c r="FW19" s="14">
        <v>43052</v>
      </c>
      <c r="FY19" s="65">
        <f t="shared" si="123"/>
        <v>18</v>
      </c>
      <c r="FZ19" s="13">
        <f t="shared" si="40"/>
        <v>3943886.957345054</v>
      </c>
      <c r="GA19" s="14">
        <v>43052</v>
      </c>
      <c r="GC19" s="65">
        <f t="shared" si="124"/>
        <v>22</v>
      </c>
      <c r="GD19" s="13">
        <f t="shared" si="41"/>
        <v>867410.07784821035</v>
      </c>
      <c r="GE19" s="14">
        <v>43053</v>
      </c>
      <c r="GG19" s="65">
        <f t="shared" si="125"/>
        <v>18</v>
      </c>
      <c r="GH19" s="13">
        <f t="shared" si="42"/>
        <v>2839547.6384311793</v>
      </c>
      <c r="GI19" s="14">
        <v>43057</v>
      </c>
      <c r="GK19" s="65">
        <f t="shared" si="126"/>
        <v>9</v>
      </c>
      <c r="GL19" s="13">
        <f t="shared" si="43"/>
        <v>946494.49739305384</v>
      </c>
      <c r="GM19" s="14">
        <v>43074</v>
      </c>
      <c r="GO19" s="65">
        <f t="shared" si="127"/>
        <v>19</v>
      </c>
      <c r="GP19" s="13">
        <f t="shared" si="44"/>
        <v>1257092.6598742944</v>
      </c>
      <c r="GQ19" s="14">
        <v>43077</v>
      </c>
      <c r="GS19" s="65">
        <f t="shared" si="128"/>
        <v>24</v>
      </c>
      <c r="GT19" s="13">
        <f t="shared" si="45"/>
        <v>1547607.8634138533</v>
      </c>
      <c r="GU19" s="14">
        <v>43080</v>
      </c>
      <c r="GW19" s="65">
        <f t="shared" si="129"/>
        <v>24</v>
      </c>
      <c r="GX19" s="13">
        <f t="shared" si="46"/>
        <v>921990.54252838844</v>
      </c>
      <c r="GY19" s="14">
        <v>43081</v>
      </c>
      <c r="HA19" s="65">
        <f t="shared" si="130"/>
        <v>24</v>
      </c>
      <c r="HB19" s="13">
        <f t="shared" si="47"/>
        <v>1536773.5958380452</v>
      </c>
      <c r="HC19" s="14">
        <v>43081</v>
      </c>
      <c r="HE19" s="65">
        <f t="shared" si="131"/>
        <v>19</v>
      </c>
      <c r="HF19" s="13">
        <f t="shared" si="48"/>
        <v>1101240.1998108958</v>
      </c>
      <c r="HG19" s="14">
        <v>43085</v>
      </c>
      <c r="HI19" s="65"/>
      <c r="HJ19" s="13"/>
      <c r="HK19" s="14"/>
      <c r="HM19" s="65"/>
      <c r="HN19" s="13"/>
      <c r="HO19" s="14"/>
      <c r="HQ19" s="65">
        <f t="shared" si="134"/>
        <v>21</v>
      </c>
      <c r="HR19" s="13">
        <f t="shared" si="51"/>
        <v>3043350.8981829328</v>
      </c>
      <c r="HS19" s="14">
        <v>43087</v>
      </c>
      <c r="HU19" s="65"/>
      <c r="HV19" s="13"/>
      <c r="HW19" s="14"/>
      <c r="HY19" s="65"/>
      <c r="HZ19" s="13"/>
      <c r="IA19" s="14"/>
      <c r="IC19" s="65"/>
      <c r="ID19" s="13"/>
      <c r="IE19" s="14"/>
      <c r="IG19" s="65">
        <f t="shared" si="138"/>
        <v>22</v>
      </c>
      <c r="IH19" s="13">
        <f t="shared" si="55"/>
        <v>1283819.9675494926</v>
      </c>
      <c r="II19" s="14">
        <v>43102</v>
      </c>
      <c r="IK19" s="65">
        <f t="shared" si="139"/>
        <v>30</v>
      </c>
      <c r="IL19" s="13">
        <f t="shared" si="56"/>
        <v>2580486.1677919226</v>
      </c>
      <c r="IM19" s="14">
        <v>43106</v>
      </c>
      <c r="IO19" s="65">
        <f t="shared" si="140"/>
        <v>22</v>
      </c>
      <c r="IP19" s="13">
        <f t="shared" si="57"/>
        <v>1134284.1189427716</v>
      </c>
      <c r="IQ19" s="14">
        <v>43107</v>
      </c>
      <c r="IS19" s="65">
        <f t="shared" si="141"/>
        <v>19</v>
      </c>
      <c r="IT19" s="13">
        <f t="shared" si="58"/>
        <v>1488740.3223751623</v>
      </c>
      <c r="IU19" s="14">
        <v>43113</v>
      </c>
      <c r="IW19" s="65">
        <f t="shared" si="142"/>
        <v>23</v>
      </c>
      <c r="IX19" s="13">
        <f t="shared" si="59"/>
        <v>1644284.1182127858</v>
      </c>
      <c r="IY19" s="14">
        <v>43113</v>
      </c>
      <c r="JA19" s="65">
        <f t="shared" si="143"/>
        <v>47</v>
      </c>
      <c r="JB19" s="13">
        <f t="shared" si="60"/>
        <v>986291.9599227017</v>
      </c>
      <c r="JC19" s="14">
        <v>43119</v>
      </c>
      <c r="JE19" s="65">
        <f t="shared" si="144"/>
        <v>30</v>
      </c>
      <c r="JF19" s="13">
        <f t="shared" si="61"/>
        <v>1481328.2943447547</v>
      </c>
      <c r="JG19" s="14">
        <v>43130</v>
      </c>
      <c r="JI19" s="65">
        <f t="shared" si="145"/>
        <v>9</v>
      </c>
      <c r="JJ19" s="13">
        <f t="shared" si="62"/>
        <v>993309.54512011819</v>
      </c>
      <c r="JK19" s="14">
        <v>43135</v>
      </c>
      <c r="JM19" s="65">
        <f t="shared" si="146"/>
        <v>18</v>
      </c>
      <c r="JN19" s="13">
        <f t="shared" si="63"/>
        <v>992671.80025938188</v>
      </c>
      <c r="JO19" s="14">
        <v>43135</v>
      </c>
      <c r="JQ19" s="65">
        <f t="shared" si="147"/>
        <v>24</v>
      </c>
      <c r="JR19" s="13">
        <f t="shared" si="64"/>
        <v>1499438.3781778768</v>
      </c>
      <c r="JS19" s="14">
        <v>43136</v>
      </c>
      <c r="JU19" s="65">
        <f t="shared" si="148"/>
        <v>52</v>
      </c>
      <c r="JV19" s="13">
        <f t="shared" si="65"/>
        <v>1650159.6063384684</v>
      </c>
      <c r="JW19" s="14">
        <v>43141</v>
      </c>
      <c r="JY19" s="65">
        <f t="shared" si="149"/>
        <v>30</v>
      </c>
      <c r="JZ19" s="13">
        <f t="shared" si="66"/>
        <v>1481328.2943447547</v>
      </c>
      <c r="KA19" s="14">
        <v>43130</v>
      </c>
      <c r="KC19" s="65">
        <f t="shared" si="150"/>
        <v>9</v>
      </c>
      <c r="KD19" s="13">
        <f t="shared" si="67"/>
        <v>993309.54512011819</v>
      </c>
      <c r="KE19" s="14">
        <v>43135</v>
      </c>
      <c r="KG19" s="65">
        <f t="shared" si="151"/>
        <v>18</v>
      </c>
      <c r="KH19" s="13">
        <f t="shared" si="68"/>
        <v>992671.80025938188</v>
      </c>
      <c r="KI19" s="14">
        <v>43135</v>
      </c>
      <c r="KK19" s="65">
        <f t="shared" si="152"/>
        <v>24</v>
      </c>
      <c r="KL19" s="13">
        <f t="shared" si="69"/>
        <v>1499438.3781778768</v>
      </c>
      <c r="KM19" s="14">
        <v>43136</v>
      </c>
      <c r="KO19" s="65">
        <f t="shared" si="153"/>
        <v>13</v>
      </c>
      <c r="KP19" s="13">
        <f t="shared" si="70"/>
        <v>3313759.2503944286</v>
      </c>
      <c r="KQ19" s="14">
        <v>43179</v>
      </c>
      <c r="KS19" s="65">
        <f t="shared" si="154"/>
        <v>40</v>
      </c>
      <c r="KT19" s="13">
        <f t="shared" si="71"/>
        <v>3303979.3524793303</v>
      </c>
      <c r="KU19" s="14">
        <v>43182</v>
      </c>
      <c r="KW19" s="65">
        <f t="shared" si="155"/>
        <v>31</v>
      </c>
      <c r="KX19" s="13">
        <f t="shared" si="72"/>
        <v>2985779.549792849</v>
      </c>
      <c r="KY19" s="14">
        <v>43184</v>
      </c>
      <c r="LA19" s="65">
        <f t="shared" si="156"/>
        <v>68</v>
      </c>
      <c r="LB19" s="13">
        <f t="shared" si="73"/>
        <v>2628739.7676565172</v>
      </c>
      <c r="LC19" s="14">
        <v>43196</v>
      </c>
      <c r="LE19" s="65">
        <f t="shared" si="157"/>
        <v>9</v>
      </c>
      <c r="LF19" s="13">
        <f t="shared" si="74"/>
        <v>994549.89661397703</v>
      </c>
      <c r="LG19" s="14">
        <v>43199</v>
      </c>
      <c r="LI19" s="65">
        <f t="shared" si="158"/>
        <v>28</v>
      </c>
      <c r="LJ19" s="13">
        <f t="shared" si="75"/>
        <v>2482348.9876425872</v>
      </c>
      <c r="LK19" s="14">
        <v>43203</v>
      </c>
      <c r="LM19" s="65">
        <f t="shared" si="159"/>
        <v>56</v>
      </c>
      <c r="LN19" s="13">
        <f t="shared" si="76"/>
        <v>743202.40999419207</v>
      </c>
      <c r="LO19" s="14">
        <v>43206</v>
      </c>
      <c r="LQ19" s="65">
        <f t="shared" si="160"/>
        <v>25</v>
      </c>
      <c r="LR19" s="13">
        <f t="shared" si="77"/>
        <v>2774018.6384020653</v>
      </c>
      <c r="LS19" s="14">
        <v>43219</v>
      </c>
      <c r="LU19" s="65">
        <f t="shared" si="161"/>
        <v>3</v>
      </c>
      <c r="LV19" s="13">
        <f t="shared" si="78"/>
        <v>832592.40343925648</v>
      </c>
      <c r="LW19" s="14">
        <v>43224</v>
      </c>
      <c r="LY19" s="65">
        <f t="shared" si="162"/>
        <v>28</v>
      </c>
      <c r="LZ19" s="13">
        <f t="shared" si="79"/>
        <v>975138.18123642891</v>
      </c>
      <c r="MA19" s="14">
        <v>43231</v>
      </c>
      <c r="MC19" s="65">
        <f t="shared" si="163"/>
        <v>23</v>
      </c>
      <c r="MD19" s="13">
        <f t="shared" si="80"/>
        <v>2863257.567455953</v>
      </c>
      <c r="ME19" s="14">
        <v>43233</v>
      </c>
      <c r="MG19" s="65">
        <f t="shared" si="164"/>
        <v>18</v>
      </c>
      <c r="MH19" s="13">
        <f t="shared" si="81"/>
        <v>1771917.5685754973</v>
      </c>
      <c r="MI19" s="14">
        <v>43234</v>
      </c>
      <c r="MK19" s="65">
        <f t="shared" si="165"/>
        <v>12</v>
      </c>
      <c r="ML19" s="13">
        <f t="shared" si="82"/>
        <v>1582229.5416728281</v>
      </c>
      <c r="MM19" s="14">
        <v>43240</v>
      </c>
      <c r="MO19" s="65">
        <f t="shared" si="166"/>
        <v>9</v>
      </c>
      <c r="MP19" s="13">
        <f t="shared" si="83"/>
        <v>1455523.2417973864</v>
      </c>
      <c r="MQ19" s="14">
        <v>43242</v>
      </c>
      <c r="MS19" s="65">
        <f t="shared" si="167"/>
        <v>10</v>
      </c>
      <c r="MT19" s="13">
        <f t="shared" si="84"/>
        <v>1441298.7810499652</v>
      </c>
      <c r="MU19" s="14">
        <v>43245</v>
      </c>
    </row>
    <row r="20" spans="1:359" x14ac:dyDescent="0.25">
      <c r="A20" s="15">
        <f t="shared" si="1"/>
        <v>731634.97653700062</v>
      </c>
      <c r="B20" s="20">
        <v>42714</v>
      </c>
      <c r="D20" s="12">
        <v>156</v>
      </c>
      <c r="E20" s="17">
        <v>1139920.1154607334</v>
      </c>
      <c r="F20" s="14">
        <v>42444</v>
      </c>
      <c r="I20" s="12">
        <v>21</v>
      </c>
      <c r="J20" s="17">
        <v>1191791.1333599978</v>
      </c>
      <c r="K20" s="14">
        <v>42486</v>
      </c>
      <c r="N20" s="12">
        <f t="shared" si="85"/>
        <v>86</v>
      </c>
      <c r="O20" s="13">
        <f t="shared" si="2"/>
        <v>731634.97653700062</v>
      </c>
      <c r="P20" s="14">
        <v>42714</v>
      </c>
      <c r="T20" s="15">
        <f t="shared" si="3"/>
        <v>1534630.5272726957</v>
      </c>
      <c r="U20" s="20">
        <v>42963</v>
      </c>
      <c r="W20" s="12">
        <v>156</v>
      </c>
      <c r="X20" s="17">
        <v>1139920.1154607334</v>
      </c>
      <c r="Y20" s="14">
        <v>42444</v>
      </c>
      <c r="AB20" s="12">
        <v>21</v>
      </c>
      <c r="AC20" s="17">
        <v>1191791.1333599978</v>
      </c>
      <c r="AD20" s="14">
        <v>42486</v>
      </c>
      <c r="AG20" s="12">
        <f t="shared" si="86"/>
        <v>21</v>
      </c>
      <c r="AH20" s="13">
        <f t="shared" si="0"/>
        <v>1534630.5272726957</v>
      </c>
      <c r="AI20" s="14">
        <v>42963</v>
      </c>
      <c r="AK20" s="12">
        <f t="shared" si="87"/>
        <v>28</v>
      </c>
      <c r="AL20" s="13">
        <f t="shared" si="4"/>
        <v>1386814.1274514263</v>
      </c>
      <c r="AM20" s="14">
        <v>42970</v>
      </c>
      <c r="AO20" s="12">
        <f t="shared" si="88"/>
        <v>26</v>
      </c>
      <c r="AP20" s="13">
        <f t="shared" si="5"/>
        <v>3651515.9996462739</v>
      </c>
      <c r="AQ20" s="14">
        <v>42973</v>
      </c>
      <c r="AS20" s="12">
        <f t="shared" si="89"/>
        <v>16</v>
      </c>
      <c r="AT20" s="13">
        <f t="shared" si="6"/>
        <v>1233686.9771491976</v>
      </c>
      <c r="AU20" s="14">
        <v>42973</v>
      </c>
      <c r="AW20" s="65">
        <f t="shared" si="90"/>
        <v>18</v>
      </c>
      <c r="AX20" s="13">
        <f t="shared" si="7"/>
        <v>697040.22299997613</v>
      </c>
      <c r="AY20" s="14">
        <v>42975</v>
      </c>
      <c r="BA20" s="65">
        <f t="shared" si="91"/>
        <v>15</v>
      </c>
      <c r="BB20" s="13">
        <f t="shared" si="8"/>
        <v>617797.45515182579</v>
      </c>
      <c r="BC20" s="14">
        <v>42975</v>
      </c>
      <c r="BE20" s="65">
        <f t="shared" si="92"/>
        <v>22</v>
      </c>
      <c r="BF20" s="13">
        <f t="shared" si="9"/>
        <v>1392834.9761356423</v>
      </c>
      <c r="BG20" s="14">
        <v>42976</v>
      </c>
      <c r="BI20" s="65">
        <f t="shared" si="93"/>
        <v>11</v>
      </c>
      <c r="BJ20" s="13">
        <f t="shared" si="10"/>
        <v>2489788.8549534176</v>
      </c>
      <c r="BK20" s="14">
        <v>42980</v>
      </c>
      <c r="BM20" s="65">
        <f t="shared" si="94"/>
        <v>40</v>
      </c>
      <c r="BN20" s="13">
        <f t="shared" si="11"/>
        <v>1863244.6286326041</v>
      </c>
      <c r="BO20" s="14">
        <v>42980</v>
      </c>
      <c r="BQ20" s="65">
        <f t="shared" si="95"/>
        <v>45</v>
      </c>
      <c r="BR20" s="13">
        <f t="shared" si="12"/>
        <v>4289301.877460829</v>
      </c>
      <c r="BS20" s="14">
        <v>42987</v>
      </c>
      <c r="BU20" s="65">
        <f t="shared" si="96"/>
        <v>14</v>
      </c>
      <c r="BV20" s="13">
        <f t="shared" si="13"/>
        <v>1610721.9735290229</v>
      </c>
      <c r="BW20" s="14">
        <v>42996</v>
      </c>
      <c r="BY20" s="65">
        <f t="shared" si="97"/>
        <v>14</v>
      </c>
      <c r="BZ20" s="13">
        <f t="shared" si="14"/>
        <v>1610721.9735290229</v>
      </c>
      <c r="CA20" s="14">
        <v>42996</v>
      </c>
      <c r="CC20" s="65">
        <f t="shared" si="98"/>
        <v>22</v>
      </c>
      <c r="CD20" s="13">
        <f t="shared" si="15"/>
        <v>1622820.6894471478</v>
      </c>
      <c r="CE20" s="14">
        <v>42997</v>
      </c>
      <c r="CG20" s="65">
        <f t="shared" si="99"/>
        <v>30</v>
      </c>
      <c r="CH20" s="13">
        <f t="shared" si="16"/>
        <v>973129.79624762747</v>
      </c>
      <c r="CI20" s="14">
        <v>42997</v>
      </c>
      <c r="CK20" s="65">
        <f t="shared" si="100"/>
        <v>54</v>
      </c>
      <c r="CL20" s="13">
        <f t="shared" si="17"/>
        <v>800438.43254481582</v>
      </c>
      <c r="CM20" s="14">
        <v>43001</v>
      </c>
      <c r="CO20" s="65">
        <f t="shared" si="101"/>
        <v>11</v>
      </c>
      <c r="CP20" s="13">
        <f t="shared" si="18"/>
        <v>1834831.2775927917</v>
      </c>
      <c r="CQ20" s="14">
        <v>43003</v>
      </c>
      <c r="CS20" s="65">
        <f t="shared" si="102"/>
        <v>7</v>
      </c>
      <c r="CT20" s="13">
        <f t="shared" si="19"/>
        <v>1595948.5593961559</v>
      </c>
      <c r="CU20" s="14">
        <v>43003</v>
      </c>
      <c r="CW20" s="65">
        <f t="shared" si="103"/>
        <v>36</v>
      </c>
      <c r="CX20" s="13">
        <f t="shared" si="20"/>
        <v>2546478.2978078709</v>
      </c>
      <c r="CY20" s="14">
        <v>43005</v>
      </c>
      <c r="DA20" s="65">
        <f t="shared" si="104"/>
        <v>16</v>
      </c>
      <c r="DB20" s="13">
        <f t="shared" si="21"/>
        <v>2811519.4634701656</v>
      </c>
      <c r="DC20" s="14">
        <v>43010</v>
      </c>
      <c r="DE20" s="65">
        <f t="shared" si="105"/>
        <v>35</v>
      </c>
      <c r="DF20" s="13">
        <f t="shared" si="22"/>
        <v>3198069.3208991373</v>
      </c>
      <c r="DG20" s="14">
        <v>43011</v>
      </c>
      <c r="DI20" s="65"/>
      <c r="DJ20" s="13"/>
      <c r="DK20" s="14"/>
      <c r="DM20" s="65">
        <f t="shared" si="107"/>
        <v>8</v>
      </c>
      <c r="DN20" s="13">
        <f t="shared" si="24"/>
        <v>784979.44107573666</v>
      </c>
      <c r="DO20" s="14">
        <v>43018</v>
      </c>
      <c r="DQ20" s="65"/>
      <c r="DR20" s="13"/>
      <c r="DS20" s="14"/>
      <c r="DU20" s="65">
        <f t="shared" si="109"/>
        <v>80</v>
      </c>
      <c r="DV20" s="13">
        <f t="shared" si="26"/>
        <v>2329419.4318054193</v>
      </c>
      <c r="DW20" s="14">
        <v>43022</v>
      </c>
      <c r="DY20" s="65">
        <f t="shared" si="110"/>
        <v>91</v>
      </c>
      <c r="DZ20" s="13">
        <f t="shared" si="27"/>
        <v>791696.74399950344</v>
      </c>
      <c r="EA20" s="14">
        <v>43025</v>
      </c>
      <c r="EC20" s="65">
        <f t="shared" si="111"/>
        <v>16</v>
      </c>
      <c r="ED20" s="13">
        <f t="shared" si="28"/>
        <v>1261088.9620057081</v>
      </c>
      <c r="EE20" s="14">
        <v>43026</v>
      </c>
      <c r="EG20" s="65">
        <f t="shared" si="112"/>
        <v>24</v>
      </c>
      <c r="EH20" s="13">
        <f t="shared" si="29"/>
        <v>1591722.5653132109</v>
      </c>
      <c r="EI20" s="14">
        <v>43031</v>
      </c>
      <c r="EK20" s="65">
        <f t="shared" si="113"/>
        <v>5</v>
      </c>
      <c r="EL20" s="13">
        <f t="shared" si="30"/>
        <v>968783.54754682584</v>
      </c>
      <c r="EM20" s="14">
        <v>43036</v>
      </c>
      <c r="EO20" s="65">
        <f t="shared" si="114"/>
        <v>65</v>
      </c>
      <c r="EP20" s="13">
        <f t="shared" si="31"/>
        <v>1278820.7429688459</v>
      </c>
      <c r="EQ20" s="14">
        <v>43037</v>
      </c>
      <c r="ES20" s="65">
        <f t="shared" si="115"/>
        <v>22</v>
      </c>
      <c r="ET20" s="13">
        <f t="shared" si="32"/>
        <v>1602441.72060188</v>
      </c>
      <c r="EU20" s="14">
        <v>43037</v>
      </c>
      <c r="EW20" s="65">
        <f t="shared" si="116"/>
        <v>1</v>
      </c>
      <c r="EX20" s="13">
        <f t="shared" si="33"/>
        <v>2391524.0756307314</v>
      </c>
      <c r="EY20" s="14">
        <v>43038</v>
      </c>
      <c r="FA20" s="65">
        <f t="shared" si="117"/>
        <v>64</v>
      </c>
      <c r="FB20" s="13">
        <f t="shared" si="34"/>
        <v>1258393.1656283929</v>
      </c>
      <c r="FC20" s="14">
        <v>43044</v>
      </c>
      <c r="FE20" s="65">
        <f t="shared" si="118"/>
        <v>59</v>
      </c>
      <c r="FF20" s="13">
        <f t="shared" si="35"/>
        <v>3150278.0530735957</v>
      </c>
      <c r="FG20" s="14">
        <v>43044</v>
      </c>
      <c r="FI20" s="65">
        <f t="shared" si="119"/>
        <v>56</v>
      </c>
      <c r="FJ20" s="13">
        <f t="shared" si="36"/>
        <v>1739627.9192168624</v>
      </c>
      <c r="FK20" s="14">
        <v>43046</v>
      </c>
      <c r="FM20" s="65">
        <f t="shared" si="120"/>
        <v>22</v>
      </c>
      <c r="FN20" s="13">
        <f t="shared" si="37"/>
        <v>1140358.6009570884</v>
      </c>
      <c r="FO20" s="14">
        <v>43051</v>
      </c>
      <c r="FQ20" s="65">
        <f t="shared" si="121"/>
        <v>18</v>
      </c>
      <c r="FR20" s="13">
        <f t="shared" si="38"/>
        <v>1409656.3008050581</v>
      </c>
      <c r="FS20" s="14">
        <v>43051</v>
      </c>
      <c r="FU20" s="65">
        <f t="shared" si="122"/>
        <v>31</v>
      </c>
      <c r="FV20" s="13">
        <f t="shared" si="39"/>
        <v>1903580.9580007149</v>
      </c>
      <c r="FW20" s="14">
        <v>43053</v>
      </c>
      <c r="FY20" s="65">
        <f t="shared" si="123"/>
        <v>17</v>
      </c>
      <c r="FZ20" s="13">
        <f t="shared" si="40"/>
        <v>3944109.0179489809</v>
      </c>
      <c r="GA20" s="14">
        <v>43053</v>
      </c>
      <c r="GC20" s="65">
        <f t="shared" si="124"/>
        <v>21</v>
      </c>
      <c r="GD20" s="13">
        <f t="shared" si="41"/>
        <v>867458.67484809528</v>
      </c>
      <c r="GE20" s="14">
        <v>43054</v>
      </c>
      <c r="GG20" s="65">
        <f t="shared" si="125"/>
        <v>17</v>
      </c>
      <c r="GH20" s="13">
        <f t="shared" si="42"/>
        <v>2839702.8818894182</v>
      </c>
      <c r="GI20" s="14">
        <v>43058</v>
      </c>
      <c r="GK20" s="65">
        <f t="shared" si="126"/>
        <v>8</v>
      </c>
      <c r="GL20" s="13">
        <f t="shared" si="43"/>
        <v>946563.86629310797</v>
      </c>
      <c r="GM20" s="14">
        <v>43075</v>
      </c>
      <c r="GO20" s="65">
        <f t="shared" si="127"/>
        <v>18</v>
      </c>
      <c r="GP20" s="13">
        <f t="shared" si="44"/>
        <v>1257195.4952576433</v>
      </c>
      <c r="GQ20" s="14">
        <v>43078</v>
      </c>
      <c r="GS20" s="65">
        <f t="shared" si="128"/>
        <v>23</v>
      </c>
      <c r="GT20" s="13">
        <f t="shared" si="45"/>
        <v>1547732.4694547856</v>
      </c>
      <c r="GU20" s="14">
        <v>43081</v>
      </c>
      <c r="GW20" s="65">
        <f t="shared" si="129"/>
        <v>23</v>
      </c>
      <c r="GX20" s="13">
        <f t="shared" si="46"/>
        <v>922061.73502728227</v>
      </c>
      <c r="GY20" s="14">
        <v>43082</v>
      </c>
      <c r="HA20" s="65">
        <f t="shared" si="130"/>
        <v>23</v>
      </c>
      <c r="HB20" s="13">
        <f t="shared" si="47"/>
        <v>1536887.1551584736</v>
      </c>
      <c r="HC20" s="14">
        <v>43082</v>
      </c>
      <c r="HE20" s="65">
        <f t="shared" si="131"/>
        <v>18</v>
      </c>
      <c r="HF20" s="13">
        <f t="shared" si="48"/>
        <v>1101323.387861318</v>
      </c>
      <c r="HG20" s="14">
        <v>43086</v>
      </c>
      <c r="HI20" s="65"/>
      <c r="HJ20" s="13"/>
      <c r="HK20" s="14"/>
      <c r="HM20" s="65"/>
      <c r="HN20" s="13"/>
      <c r="HO20" s="14"/>
      <c r="HQ20" s="65">
        <f t="shared" si="134"/>
        <v>20</v>
      </c>
      <c r="HR20" s="13">
        <f t="shared" si="51"/>
        <v>3043624.4509423785</v>
      </c>
      <c r="HS20" s="14">
        <v>43088</v>
      </c>
      <c r="HU20" s="65"/>
      <c r="HV20" s="13"/>
      <c r="HW20" s="14"/>
      <c r="HY20" s="65"/>
      <c r="HZ20" s="13"/>
      <c r="IA20" s="14"/>
      <c r="IC20" s="65"/>
      <c r="ID20" s="13"/>
      <c r="IE20" s="14"/>
      <c r="IG20" s="65">
        <f t="shared" si="138"/>
        <v>21</v>
      </c>
      <c r="IH20" s="13">
        <f t="shared" si="55"/>
        <v>1283926.7656501124</v>
      </c>
      <c r="II20" s="14">
        <v>43103</v>
      </c>
      <c r="IK20" s="65">
        <f t="shared" si="139"/>
        <v>29</v>
      </c>
      <c r="IL20" s="13">
        <f t="shared" si="56"/>
        <v>2580703.7384082708</v>
      </c>
      <c r="IM20" s="14">
        <v>43107</v>
      </c>
      <c r="IO20" s="65">
        <f t="shared" si="140"/>
        <v>21</v>
      </c>
      <c r="IP20" s="13">
        <f t="shared" si="57"/>
        <v>1134378.4774918894</v>
      </c>
      <c r="IQ20" s="14">
        <v>43108</v>
      </c>
      <c r="IS20" s="65">
        <f t="shared" si="141"/>
        <v>18</v>
      </c>
      <c r="IT20" s="13">
        <f t="shared" si="58"/>
        <v>1488833.9431869884</v>
      </c>
      <c r="IU20" s="14">
        <v>43114</v>
      </c>
      <c r="IW20" s="65">
        <f t="shared" si="142"/>
        <v>22</v>
      </c>
      <c r="IX20" s="13">
        <f t="shared" si="59"/>
        <v>1644386.088423477</v>
      </c>
      <c r="IY20" s="14">
        <v>43114</v>
      </c>
      <c r="JA20" s="65">
        <f t="shared" si="143"/>
        <v>46</v>
      </c>
      <c r="JB20" s="13">
        <f t="shared" si="60"/>
        <v>986344.3660365165</v>
      </c>
      <c r="JC20" s="14">
        <v>43120</v>
      </c>
      <c r="JE20" s="65">
        <f t="shared" si="144"/>
        <v>29</v>
      </c>
      <c r="JF20" s="13">
        <f t="shared" si="61"/>
        <v>1481404.1103662353</v>
      </c>
      <c r="JG20" s="14">
        <v>43131</v>
      </c>
      <c r="JI20" s="65">
        <f t="shared" si="145"/>
        <v>8</v>
      </c>
      <c r="JJ20" s="13">
        <f t="shared" si="62"/>
        <v>993360.94748577161</v>
      </c>
      <c r="JK20" s="14">
        <v>43136</v>
      </c>
      <c r="JM20" s="65">
        <f t="shared" si="146"/>
        <v>17</v>
      </c>
      <c r="JN20" s="13">
        <f t="shared" si="63"/>
        <v>992724.66586441547</v>
      </c>
      <c r="JO20" s="14">
        <v>43136</v>
      </c>
      <c r="JQ20" s="65">
        <f t="shared" si="147"/>
        <v>23</v>
      </c>
      <c r="JR20" s="13">
        <f t="shared" si="64"/>
        <v>1499525.2693024951</v>
      </c>
      <c r="JS20" s="14">
        <v>43137</v>
      </c>
      <c r="JU20" s="65">
        <f t="shared" si="148"/>
        <v>51</v>
      </c>
      <c r="JV20" s="13">
        <f t="shared" si="65"/>
        <v>1650261.8301214532</v>
      </c>
      <c r="JW20" s="14">
        <v>43142</v>
      </c>
      <c r="JY20" s="65">
        <f t="shared" si="149"/>
        <v>29</v>
      </c>
      <c r="JZ20" s="13">
        <f t="shared" si="66"/>
        <v>1481404.1103662353</v>
      </c>
      <c r="KA20" s="14">
        <v>43131</v>
      </c>
      <c r="KC20" s="65">
        <f t="shared" si="150"/>
        <v>8</v>
      </c>
      <c r="KD20" s="13">
        <f t="shared" si="67"/>
        <v>993360.94748577161</v>
      </c>
      <c r="KE20" s="14">
        <v>43136</v>
      </c>
      <c r="KG20" s="65">
        <f t="shared" si="151"/>
        <v>17</v>
      </c>
      <c r="KH20" s="13">
        <f t="shared" si="68"/>
        <v>992724.66586441547</v>
      </c>
      <c r="KI20" s="14">
        <v>43136</v>
      </c>
      <c r="KK20" s="65">
        <f t="shared" si="152"/>
        <v>23</v>
      </c>
      <c r="KL20" s="13">
        <f t="shared" si="69"/>
        <v>1499525.2693024951</v>
      </c>
      <c r="KM20" s="14">
        <v>43137</v>
      </c>
      <c r="KO20" s="65">
        <f t="shared" si="153"/>
        <v>12</v>
      </c>
      <c r="KP20" s="13">
        <f t="shared" si="70"/>
        <v>3313993.3086469956</v>
      </c>
      <c r="KQ20" s="14">
        <v>43180</v>
      </c>
      <c r="KS20" s="65">
        <f t="shared" si="154"/>
        <v>39</v>
      </c>
      <c r="KT20" s="13">
        <f t="shared" si="71"/>
        <v>3304190.9588464643</v>
      </c>
      <c r="KU20" s="14">
        <v>43183</v>
      </c>
      <c r="KW20" s="65">
        <f t="shared" si="155"/>
        <v>30</v>
      </c>
      <c r="KX20" s="13">
        <f t="shared" si="72"/>
        <v>2985964.5108022899</v>
      </c>
      <c r="KY20" s="14">
        <v>43185</v>
      </c>
      <c r="LA20" s="65">
        <f t="shared" si="156"/>
        <v>67</v>
      </c>
      <c r="LB20" s="13">
        <f t="shared" si="73"/>
        <v>2628940.2744355495</v>
      </c>
      <c r="LC20" s="14">
        <v>43197</v>
      </c>
      <c r="LE20" s="65">
        <f t="shared" si="157"/>
        <v>8</v>
      </c>
      <c r="LF20" s="13">
        <f t="shared" si="74"/>
        <v>994639.28898334398</v>
      </c>
      <c r="LG20" s="14">
        <v>43200</v>
      </c>
      <c r="LI20" s="65">
        <f t="shared" si="158"/>
        <v>27</v>
      </c>
      <c r="LJ20" s="13">
        <f t="shared" si="75"/>
        <v>2482520.1234361157</v>
      </c>
      <c r="LK20" s="14">
        <v>43204</v>
      </c>
      <c r="LM20" s="65">
        <f t="shared" si="159"/>
        <v>55</v>
      </c>
      <c r="LN20" s="13">
        <f t="shared" si="76"/>
        <v>743255.4089445275</v>
      </c>
      <c r="LO20" s="14">
        <v>43207</v>
      </c>
      <c r="LQ20" s="65">
        <f t="shared" si="160"/>
        <v>24</v>
      </c>
      <c r="LR20" s="13">
        <f t="shared" si="77"/>
        <v>2774196.7945428998</v>
      </c>
      <c r="LS20" s="14">
        <v>43220</v>
      </c>
      <c r="LU20" s="65">
        <f t="shared" si="161"/>
        <v>2</v>
      </c>
      <c r="LV20" s="13">
        <f t="shared" si="78"/>
        <v>832649.68555026641</v>
      </c>
      <c r="LW20" s="14">
        <v>43225</v>
      </c>
      <c r="LY20" s="65">
        <f t="shared" si="162"/>
        <v>27</v>
      </c>
      <c r="LZ20" s="13">
        <f t="shared" si="79"/>
        <v>975204.26231438958</v>
      </c>
      <c r="MA20" s="14">
        <v>43232</v>
      </c>
      <c r="MC20" s="65">
        <f t="shared" si="163"/>
        <v>22</v>
      </c>
      <c r="MD20" s="13">
        <f t="shared" si="80"/>
        <v>2863440.0148068881</v>
      </c>
      <c r="ME20" s="14">
        <v>43234</v>
      </c>
      <c r="MG20" s="65">
        <f t="shared" si="164"/>
        <v>17</v>
      </c>
      <c r="MH20" s="13">
        <f t="shared" si="81"/>
        <v>1772037.5148920545</v>
      </c>
      <c r="MI20" s="14">
        <v>43235</v>
      </c>
      <c r="MK20" s="65">
        <f t="shared" si="165"/>
        <v>11</v>
      </c>
      <c r="ML20" s="13">
        <f t="shared" si="82"/>
        <v>1582331.6781540709</v>
      </c>
      <c r="MM20" s="14">
        <v>43241</v>
      </c>
      <c r="MO20" s="65">
        <f t="shared" si="166"/>
        <v>8</v>
      </c>
      <c r="MP20" s="13">
        <f t="shared" si="83"/>
        <v>1455636.8519109134</v>
      </c>
      <c r="MQ20" s="14">
        <v>43243</v>
      </c>
      <c r="MS20" s="65">
        <f t="shared" si="167"/>
        <v>9</v>
      </c>
      <c r="MT20" s="13">
        <f t="shared" si="84"/>
        <v>1441399.608443381</v>
      </c>
      <c r="MU20" s="14">
        <v>43246</v>
      </c>
    </row>
    <row r="21" spans="1:359" x14ac:dyDescent="0.25">
      <c r="A21" s="15">
        <f t="shared" si="1"/>
        <v>731664.24312641937</v>
      </c>
      <c r="B21" s="20">
        <v>42715</v>
      </c>
      <c r="D21" s="12">
        <v>155</v>
      </c>
      <c r="E21" s="17">
        <v>1139947.2244238376</v>
      </c>
      <c r="F21" s="14">
        <v>42445</v>
      </c>
      <c r="I21" s="12">
        <v>20</v>
      </c>
      <c r="J21" s="17">
        <v>1191805.3845370007</v>
      </c>
      <c r="K21" s="14">
        <v>42487</v>
      </c>
      <c r="N21" s="12">
        <f t="shared" si="85"/>
        <v>85</v>
      </c>
      <c r="O21" s="13">
        <f t="shared" si="2"/>
        <v>731664.24312641937</v>
      </c>
      <c r="P21" s="14">
        <v>42715</v>
      </c>
      <c r="T21" s="15">
        <f t="shared" si="3"/>
        <v>1534709.3262764218</v>
      </c>
      <c r="U21" s="20">
        <v>42964</v>
      </c>
      <c r="W21" s="12">
        <v>155</v>
      </c>
      <c r="X21" s="17">
        <v>1139947.2244238376</v>
      </c>
      <c r="Y21" s="14">
        <v>42445</v>
      </c>
      <c r="AB21" s="12">
        <v>20</v>
      </c>
      <c r="AC21" s="17">
        <v>1191805.3845370007</v>
      </c>
      <c r="AD21" s="14">
        <v>42487</v>
      </c>
      <c r="AG21" s="12">
        <f t="shared" si="86"/>
        <v>20</v>
      </c>
      <c r="AH21" s="13">
        <f t="shared" si="0"/>
        <v>1534709.3262764218</v>
      </c>
      <c r="AI21" s="14">
        <v>42964</v>
      </c>
      <c r="AK21" s="12">
        <f t="shared" si="87"/>
        <v>27</v>
      </c>
      <c r="AL21" s="13">
        <f>($AM$2/(1+$AM$4*AK21/360))</f>
        <v>1386883.5398744158</v>
      </c>
      <c r="AM21" s="14">
        <v>42971</v>
      </c>
      <c r="AO21" s="12">
        <f t="shared" si="88"/>
        <v>25</v>
      </c>
      <c r="AP21" s="13">
        <f t="shared" si="5"/>
        <v>3651715.0338848825</v>
      </c>
      <c r="AQ21" s="14">
        <v>42974</v>
      </c>
      <c r="AS21" s="12">
        <f t="shared" si="89"/>
        <v>15</v>
      </c>
      <c r="AT21" s="13">
        <f t="shared" si="6"/>
        <v>1233761.0246441322</v>
      </c>
      <c r="AU21" s="14">
        <v>42974</v>
      </c>
      <c r="AW21" s="65">
        <f t="shared" si="90"/>
        <v>17</v>
      </c>
      <c r="AX21" s="13">
        <f t="shared" si="7"/>
        <v>697077.22543463344</v>
      </c>
      <c r="AY21" s="14">
        <v>42976</v>
      </c>
      <c r="BA21" s="65">
        <f t="shared" si="91"/>
        <v>14</v>
      </c>
      <c r="BB21" s="13">
        <f t="shared" si="8"/>
        <v>617834.44101058622</v>
      </c>
      <c r="BC21" s="14">
        <v>42976</v>
      </c>
      <c r="BE21" s="65">
        <f t="shared" si="92"/>
        <v>21</v>
      </c>
      <c r="BF21" s="13">
        <f t="shared" si="9"/>
        <v>1392914.7484975785</v>
      </c>
      <c r="BG21" s="14">
        <v>42977</v>
      </c>
      <c r="BI21" s="65">
        <f t="shared" si="93"/>
        <v>10</v>
      </c>
      <c r="BJ21" s="13">
        <f t="shared" si="10"/>
        <v>2489920.8646265869</v>
      </c>
      <c r="BK21" s="14">
        <v>42981</v>
      </c>
      <c r="BM21" s="65">
        <f t="shared" si="94"/>
        <v>39</v>
      </c>
      <c r="BN21" s="13">
        <f t="shared" si="11"/>
        <v>1863343.5634304939</v>
      </c>
      <c r="BO21" s="14">
        <v>42981</v>
      </c>
      <c r="BQ21" s="65">
        <f t="shared" si="95"/>
        <v>44</v>
      </c>
      <c r="BR21" s="13">
        <f t="shared" si="12"/>
        <v>4289601.1142221559</v>
      </c>
      <c r="BS21" s="14">
        <v>42988</v>
      </c>
      <c r="BU21" s="65">
        <f t="shared" si="96"/>
        <v>13</v>
      </c>
      <c r="BV21" s="13">
        <f t="shared" si="13"/>
        <v>1610796.0311281746</v>
      </c>
      <c r="BW21" s="14">
        <v>42997</v>
      </c>
      <c r="BY21" s="65">
        <f t="shared" si="97"/>
        <v>13</v>
      </c>
      <c r="BZ21" s="13">
        <f t="shared" si="14"/>
        <v>1610796.0311281746</v>
      </c>
      <c r="CA21" s="14">
        <v>42997</v>
      </c>
      <c r="CC21" s="65">
        <f t="shared" si="98"/>
        <v>21</v>
      </c>
      <c r="CD21" s="13">
        <f t="shared" si="15"/>
        <v>1622891.4419795079</v>
      </c>
      <c r="CE21" s="14">
        <v>42998</v>
      </c>
      <c r="CG21" s="65">
        <f t="shared" si="99"/>
        <v>29</v>
      </c>
      <c r="CH21" s="13">
        <f t="shared" si="16"/>
        <v>973172.79562074249</v>
      </c>
      <c r="CI21" s="14">
        <v>42998</v>
      </c>
      <c r="CK21" s="65">
        <f t="shared" si="100"/>
        <v>53</v>
      </c>
      <c r="CL21" s="13">
        <f t="shared" si="17"/>
        <v>800476.10913076671</v>
      </c>
      <c r="CM21" s="14">
        <v>43002</v>
      </c>
      <c r="CO21" s="65">
        <f t="shared" si="101"/>
        <v>10</v>
      </c>
      <c r="CP21" s="13">
        <f t="shared" si="18"/>
        <v>1834903.3032956014</v>
      </c>
      <c r="CQ21" s="14">
        <v>43004</v>
      </c>
      <c r="CS21" s="65">
        <f t="shared" si="102"/>
        <v>6</v>
      </c>
      <c r="CT21" s="13">
        <f t="shared" si="19"/>
        <v>1596009.1851034467</v>
      </c>
      <c r="CU21" s="14">
        <v>43004</v>
      </c>
      <c r="CW21" s="65">
        <f t="shared" si="103"/>
        <v>35</v>
      </c>
      <c r="CX21" s="13">
        <f t="shared" si="20"/>
        <v>2546591.8642624505</v>
      </c>
      <c r="CY21" s="14">
        <v>43006</v>
      </c>
      <c r="DA21" s="65">
        <f t="shared" si="104"/>
        <v>15</v>
      </c>
      <c r="DB21" s="13">
        <f t="shared" si="21"/>
        <v>2811646.2897563674</v>
      </c>
      <c r="DC21" s="14">
        <v>43011</v>
      </c>
      <c r="DE21" s="65">
        <f t="shared" si="105"/>
        <v>34</v>
      </c>
      <c r="DF21" s="13">
        <f t="shared" si="22"/>
        <v>3198226.7341348161</v>
      </c>
      <c r="DG21" s="14">
        <v>43012</v>
      </c>
      <c r="DI21" s="65"/>
      <c r="DJ21" s="13"/>
      <c r="DK21" s="14"/>
      <c r="DM21" s="65">
        <f t="shared" si="107"/>
        <v>7</v>
      </c>
      <c r="DN21" s="13">
        <f t="shared" si="24"/>
        <v>785017.85558841028</v>
      </c>
      <c r="DO21" s="14">
        <v>43019</v>
      </c>
      <c r="DQ21" s="65"/>
      <c r="DR21" s="13"/>
      <c r="DS21" s="14"/>
      <c r="DU21" s="65">
        <f t="shared" si="109"/>
        <v>79</v>
      </c>
      <c r="DV21" s="13">
        <f t="shared" si="26"/>
        <v>2329534.168710818</v>
      </c>
      <c r="DW21" s="14">
        <v>43023</v>
      </c>
      <c r="DY21" s="65">
        <f t="shared" si="110"/>
        <v>90</v>
      </c>
      <c r="DZ21" s="13">
        <f t="shared" si="27"/>
        <v>791738.14078660356</v>
      </c>
      <c r="EA21" s="14">
        <v>43026</v>
      </c>
      <c r="EC21" s="65">
        <f t="shared" si="111"/>
        <v>15</v>
      </c>
      <c r="ED21" s="13">
        <f t="shared" si="28"/>
        <v>1261150.1407317545</v>
      </c>
      <c r="EE21" s="14">
        <v>43027</v>
      </c>
      <c r="EG21" s="65">
        <f t="shared" si="112"/>
        <v>23</v>
      </c>
      <c r="EH21" s="13">
        <f t="shared" si="29"/>
        <v>1591808.0979645348</v>
      </c>
      <c r="EI21" s="14">
        <v>43032</v>
      </c>
      <c r="EK21" s="65">
        <f t="shared" si="113"/>
        <v>4</v>
      </c>
      <c r="EL21" s="13">
        <f t="shared" si="30"/>
        <v>968831.53822762426</v>
      </c>
      <c r="EM21" s="14">
        <v>43037</v>
      </c>
      <c r="EO21" s="65">
        <f t="shared" si="114"/>
        <v>64</v>
      </c>
      <c r="EP21" s="13">
        <f t="shared" si="31"/>
        <v>1278895.4824581782</v>
      </c>
      <c r="EQ21" s="14">
        <v>43038</v>
      </c>
      <c r="ES21" s="65">
        <f t="shared" si="115"/>
        <v>21</v>
      </c>
      <c r="ET21" s="13">
        <f t="shared" si="32"/>
        <v>1602534.8275932057</v>
      </c>
      <c r="EU21" s="14">
        <v>43038</v>
      </c>
      <c r="EW21" s="65">
        <f t="shared" si="116"/>
        <v>0</v>
      </c>
      <c r="EX21" s="13">
        <f>($EY$2/(1+$EY$4*EW21/360))*0</f>
        <v>0</v>
      </c>
      <c r="EY21" s="14">
        <v>43039</v>
      </c>
      <c r="FA21" s="65">
        <f t="shared" si="117"/>
        <v>63</v>
      </c>
      <c r="FB21" s="13">
        <f t="shared" si="34"/>
        <v>1258468.0598319545</v>
      </c>
      <c r="FC21" s="14">
        <v>43045</v>
      </c>
      <c r="FE21" s="65">
        <f t="shared" si="118"/>
        <v>58</v>
      </c>
      <c r="FF21" s="13">
        <f t="shared" si="35"/>
        <v>3150454.226314629</v>
      </c>
      <c r="FG21" s="14">
        <v>43045</v>
      </c>
      <c r="FI21" s="65">
        <f t="shared" si="119"/>
        <v>55</v>
      </c>
      <c r="FJ21" s="13">
        <f t="shared" si="36"/>
        <v>1739733.999844522</v>
      </c>
      <c r="FK21" s="14">
        <v>43047</v>
      </c>
      <c r="FM21" s="65">
        <f t="shared" si="120"/>
        <v>21</v>
      </c>
      <c r="FN21" s="13">
        <f t="shared" si="37"/>
        <v>1140426.3099262004</v>
      </c>
      <c r="FO21" s="14">
        <v>43052</v>
      </c>
      <c r="FQ21" s="65">
        <f t="shared" si="121"/>
        <v>17</v>
      </c>
      <c r="FR21" s="13">
        <f t="shared" si="38"/>
        <v>1409738.9187718143</v>
      </c>
      <c r="FS21" s="14">
        <v>43052</v>
      </c>
      <c r="FU21" s="65">
        <f t="shared" si="122"/>
        <v>30</v>
      </c>
      <c r="FV21" s="13">
        <f t="shared" si="39"/>
        <v>1903693.6678559689</v>
      </c>
      <c r="FW21" s="14">
        <v>43054</v>
      </c>
      <c r="FY21" s="65">
        <f t="shared" si="123"/>
        <v>16</v>
      </c>
      <c r="FZ21" s="13">
        <f t="shared" si="40"/>
        <v>3944331.103560566</v>
      </c>
      <c r="GA21" s="14">
        <v>43054</v>
      </c>
      <c r="GC21" s="65">
        <f t="shared" si="124"/>
        <v>20</v>
      </c>
      <c r="GD21" s="13">
        <f t="shared" si="41"/>
        <v>867507.27729361854</v>
      </c>
      <c r="GE21" s="14">
        <v>43055</v>
      </c>
      <c r="GG21" s="65">
        <f t="shared" si="125"/>
        <v>16</v>
      </c>
      <c r="GH21" s="13">
        <f t="shared" si="42"/>
        <v>2839858.1423234954</v>
      </c>
      <c r="GI21" s="14">
        <v>43059</v>
      </c>
      <c r="GK21" s="65">
        <f t="shared" si="126"/>
        <v>7</v>
      </c>
      <c r="GL21" s="13">
        <f t="shared" si="43"/>
        <v>946633.24536204746</v>
      </c>
      <c r="GM21" s="14">
        <v>43076</v>
      </c>
      <c r="GO21" s="65">
        <f t="shared" si="127"/>
        <v>17</v>
      </c>
      <c r="GP21" s="13">
        <f t="shared" si="44"/>
        <v>1257298.3474670884</v>
      </c>
      <c r="GQ21" s="14">
        <v>43079</v>
      </c>
      <c r="GS21" s="65">
        <f t="shared" si="128"/>
        <v>22</v>
      </c>
      <c r="GT21" s="13">
        <f t="shared" si="45"/>
        <v>1547857.0955627072</v>
      </c>
      <c r="GU21" s="14">
        <v>43082</v>
      </c>
      <c r="GW21" s="65">
        <f t="shared" si="129"/>
        <v>22</v>
      </c>
      <c r="GX21" s="13">
        <f t="shared" si="46"/>
        <v>922132.93852143711</v>
      </c>
      <c r="GY21" s="14">
        <v>43083</v>
      </c>
      <c r="HA21" s="65">
        <f t="shared" si="130"/>
        <v>22</v>
      </c>
      <c r="HB21" s="13">
        <f t="shared" si="47"/>
        <v>1537000.7312629903</v>
      </c>
      <c r="HC21" s="14">
        <v>43083</v>
      </c>
      <c r="HE21" s="65">
        <f t="shared" si="131"/>
        <v>17</v>
      </c>
      <c r="HF21" s="13">
        <f t="shared" si="48"/>
        <v>1101406.5884807955</v>
      </c>
      <c r="HG21" s="14">
        <v>43087</v>
      </c>
      <c r="HI21" s="65"/>
      <c r="HJ21" s="13"/>
      <c r="HK21" s="14"/>
      <c r="HM21" s="65"/>
      <c r="HN21" s="13"/>
      <c r="HO21" s="14"/>
      <c r="HQ21" s="65">
        <f t="shared" si="134"/>
        <v>19</v>
      </c>
      <c r="HR21" s="13">
        <f t="shared" si="51"/>
        <v>3043898.0528830346</v>
      </c>
      <c r="HS21" s="14">
        <v>43089</v>
      </c>
      <c r="HU21" s="65"/>
      <c r="HV21" s="13"/>
      <c r="HW21" s="14"/>
      <c r="HY21" s="65"/>
      <c r="HZ21" s="13"/>
      <c r="IA21" s="14"/>
      <c r="IC21" s="65"/>
      <c r="ID21" s="13"/>
      <c r="IE21" s="14"/>
      <c r="IG21" s="65">
        <f t="shared" si="138"/>
        <v>20</v>
      </c>
      <c r="IH21" s="13">
        <f t="shared" si="55"/>
        <v>1284033.5815207986</v>
      </c>
      <c r="II21" s="14">
        <v>43104</v>
      </c>
      <c r="IK21" s="65">
        <f t="shared" si="139"/>
        <v>28</v>
      </c>
      <c r="IL21" s="13">
        <f t="shared" si="56"/>
        <v>2580921.3457161272</v>
      </c>
      <c r="IM21" s="14">
        <v>43108</v>
      </c>
      <c r="IO21" s="65">
        <f t="shared" si="140"/>
        <v>20</v>
      </c>
      <c r="IP21" s="13">
        <f t="shared" si="57"/>
        <v>1134472.8517412646</v>
      </c>
      <c r="IQ21" s="14">
        <v>43109</v>
      </c>
      <c r="IS21" s="65">
        <f t="shared" si="141"/>
        <v>17</v>
      </c>
      <c r="IT21" s="13">
        <f t="shared" si="58"/>
        <v>1488927.5757744173</v>
      </c>
      <c r="IU21" s="14">
        <v>43115</v>
      </c>
      <c r="IW21" s="65">
        <f t="shared" si="142"/>
        <v>21</v>
      </c>
      <c r="IX21" s="13">
        <f t="shared" si="59"/>
        <v>1644488.0712823095</v>
      </c>
      <c r="IY21" s="14">
        <v>43115</v>
      </c>
      <c r="JA21" s="65">
        <f t="shared" si="143"/>
        <v>45</v>
      </c>
      <c r="JB21" s="13">
        <f t="shared" si="60"/>
        <v>986396.77771977091</v>
      </c>
      <c r="JC21" s="14">
        <v>43121</v>
      </c>
      <c r="JE21" s="65">
        <f t="shared" si="144"/>
        <v>28</v>
      </c>
      <c r="JF21" s="13">
        <f t="shared" si="61"/>
        <v>1481479.9341488087</v>
      </c>
      <c r="JG21" s="14">
        <v>43132</v>
      </c>
      <c r="JI21" s="65">
        <f t="shared" si="145"/>
        <v>7</v>
      </c>
      <c r="JJ21" s="13">
        <f t="shared" si="62"/>
        <v>993412.35517170001</v>
      </c>
      <c r="JK21" s="14">
        <v>43137</v>
      </c>
      <c r="JM21" s="65">
        <f t="shared" si="146"/>
        <v>16</v>
      </c>
      <c r="JN21" s="13">
        <f t="shared" si="63"/>
        <v>992777.53710055666</v>
      </c>
      <c r="JO21" s="14">
        <v>43137</v>
      </c>
      <c r="JQ21" s="65">
        <f t="shared" si="147"/>
        <v>22</v>
      </c>
      <c r="JR21" s="13">
        <f t="shared" si="64"/>
        <v>1499612.1704982244</v>
      </c>
      <c r="JS21" s="14">
        <v>43138</v>
      </c>
      <c r="JU21" s="65">
        <f t="shared" si="148"/>
        <v>50</v>
      </c>
      <c r="JV21" s="13">
        <f t="shared" si="65"/>
        <v>1650364.0665703027</v>
      </c>
      <c r="JW21" s="14">
        <v>43143</v>
      </c>
      <c r="JY21" s="65">
        <f t="shared" si="149"/>
        <v>28</v>
      </c>
      <c r="JZ21" s="13">
        <f t="shared" si="66"/>
        <v>1481479.9341488087</v>
      </c>
      <c r="KA21" s="14">
        <v>43132</v>
      </c>
      <c r="KC21" s="65">
        <f t="shared" si="150"/>
        <v>7</v>
      </c>
      <c r="KD21" s="13">
        <f t="shared" si="67"/>
        <v>993412.35517170001</v>
      </c>
      <c r="KE21" s="14">
        <v>43137</v>
      </c>
      <c r="KG21" s="65">
        <f t="shared" si="151"/>
        <v>16</v>
      </c>
      <c r="KH21" s="13">
        <f t="shared" si="68"/>
        <v>992777.53710055666</v>
      </c>
      <c r="KI21" s="14">
        <v>43137</v>
      </c>
      <c r="KK21" s="65">
        <f t="shared" si="152"/>
        <v>22</v>
      </c>
      <c r="KL21" s="13">
        <f t="shared" si="69"/>
        <v>1499612.1704982244</v>
      </c>
      <c r="KM21" s="14">
        <v>43138</v>
      </c>
      <c r="KO21" s="65">
        <f t="shared" si="153"/>
        <v>11</v>
      </c>
      <c r="KP21" s="13">
        <f t="shared" si="70"/>
        <v>3314227.3999660173</v>
      </c>
      <c r="KQ21" s="14">
        <v>43181</v>
      </c>
      <c r="KS21" s="65">
        <f t="shared" si="154"/>
        <v>38</v>
      </c>
      <c r="KT21" s="13">
        <f t="shared" si="71"/>
        <v>3304402.5923203793</v>
      </c>
      <c r="KU21" s="14">
        <v>43184</v>
      </c>
      <c r="KW21" s="65">
        <f t="shared" si="155"/>
        <v>29</v>
      </c>
      <c r="KX21" s="13">
        <f t="shared" si="72"/>
        <v>2986149.4947288251</v>
      </c>
      <c r="KY21" s="14">
        <v>43186</v>
      </c>
      <c r="LA21" s="65">
        <f t="shared" si="156"/>
        <v>66</v>
      </c>
      <c r="LB21" s="13">
        <f t="shared" si="73"/>
        <v>2629140.8118041707</v>
      </c>
      <c r="LC21" s="14">
        <v>43198</v>
      </c>
      <c r="LE21" s="65">
        <f t="shared" si="157"/>
        <v>7</v>
      </c>
      <c r="LF21" s="13">
        <f t="shared" si="74"/>
        <v>994728.6974237276</v>
      </c>
      <c r="LG21" s="14">
        <v>43201</v>
      </c>
      <c r="LI21" s="65">
        <f t="shared" si="158"/>
        <v>26</v>
      </c>
      <c r="LJ21" s="13">
        <f t="shared" si="75"/>
        <v>2482691.2828278407</v>
      </c>
      <c r="LK21" s="14">
        <v>43205</v>
      </c>
      <c r="LM21" s="65">
        <f t="shared" si="159"/>
        <v>54</v>
      </c>
      <c r="LN21" s="13">
        <f t="shared" si="76"/>
        <v>743308.41545428149</v>
      </c>
      <c r="LO21" s="14">
        <v>43208</v>
      </c>
      <c r="LQ21" s="65">
        <f t="shared" si="160"/>
        <v>23</v>
      </c>
      <c r="LR21" s="13">
        <f t="shared" si="77"/>
        <v>2774374.9735686919</v>
      </c>
      <c r="LS21" s="14">
        <v>43221</v>
      </c>
      <c r="LU21" s="65">
        <f t="shared" si="161"/>
        <v>1</v>
      </c>
      <c r="LV21" s="13">
        <f t="shared" si="78"/>
        <v>832706.97554380307</v>
      </c>
      <c r="LW21" s="14">
        <v>43226</v>
      </c>
      <c r="LY21" s="65">
        <f t="shared" si="162"/>
        <v>26</v>
      </c>
      <c r="LZ21" s="13">
        <f t="shared" si="79"/>
        <v>975270.35234903952</v>
      </c>
      <c r="MA21" s="14">
        <v>43233</v>
      </c>
      <c r="MC21" s="65">
        <f t="shared" si="163"/>
        <v>21</v>
      </c>
      <c r="MD21" s="13">
        <f t="shared" si="80"/>
        <v>2863622.4854104687</v>
      </c>
      <c r="ME21" s="14">
        <v>43235</v>
      </c>
      <c r="MG21" s="65">
        <f t="shared" si="164"/>
        <v>16</v>
      </c>
      <c r="MH21" s="13">
        <f t="shared" si="81"/>
        <v>1772157.4774487494</v>
      </c>
      <c r="MI21" s="14">
        <v>43236</v>
      </c>
      <c r="MK21" s="65">
        <f t="shared" si="165"/>
        <v>10</v>
      </c>
      <c r="ML21" s="13">
        <f t="shared" si="82"/>
        <v>1582433.8278224447</v>
      </c>
      <c r="MM21" s="14">
        <v>43242</v>
      </c>
      <c r="MO21" s="65">
        <f t="shared" si="166"/>
        <v>7</v>
      </c>
      <c r="MP21" s="13">
        <f t="shared" si="83"/>
        <v>1455750.4797613816</v>
      </c>
      <c r="MQ21" s="14">
        <v>43244</v>
      </c>
      <c r="MS21" s="65">
        <f t="shared" si="167"/>
        <v>8</v>
      </c>
      <c r="MT21" s="13">
        <f t="shared" si="84"/>
        <v>1441500.4499447313</v>
      </c>
      <c r="MU21" s="14">
        <v>43247</v>
      </c>
    </row>
    <row r="22" spans="1:359" x14ac:dyDescent="0.25">
      <c r="A22" s="15">
        <f t="shared" si="1"/>
        <v>731693.51205735409</v>
      </c>
      <c r="B22" s="20">
        <v>42716</v>
      </c>
      <c r="D22" s="12">
        <v>154</v>
      </c>
      <c r="E22" s="17">
        <v>1139974.334676354</v>
      </c>
      <c r="F22" s="14">
        <v>42446</v>
      </c>
      <c r="I22" s="12">
        <v>19</v>
      </c>
      <c r="J22" s="17">
        <v>1191819.6360548323</v>
      </c>
      <c r="K22" s="14">
        <v>42488</v>
      </c>
      <c r="N22" s="12">
        <f t="shared" si="85"/>
        <v>84</v>
      </c>
      <c r="O22" s="13">
        <f t="shared" si="2"/>
        <v>731693.51205735409</v>
      </c>
      <c r="P22" s="14">
        <v>42716</v>
      </c>
      <c r="T22" s="15">
        <f t="shared" si="3"/>
        <v>1534788.1333727823</v>
      </c>
      <c r="U22" s="20">
        <v>42965</v>
      </c>
      <c r="W22" s="12">
        <v>154</v>
      </c>
      <c r="X22" s="17">
        <v>1139974.334676354</v>
      </c>
      <c r="Y22" s="14">
        <v>42446</v>
      </c>
      <c r="AB22" s="12">
        <v>19</v>
      </c>
      <c r="AC22" s="17">
        <v>1191819.6360548323</v>
      </c>
      <c r="AD22" s="14">
        <v>42488</v>
      </c>
      <c r="AG22" s="12">
        <f t="shared" si="86"/>
        <v>19</v>
      </c>
      <c r="AH22" s="13">
        <f t="shared" si="0"/>
        <v>1534788.1333727823</v>
      </c>
      <c r="AI22" s="14">
        <v>42965</v>
      </c>
      <c r="AK22" s="12">
        <f t="shared" si="87"/>
        <v>26</v>
      </c>
      <c r="AL22" s="13">
        <f t="shared" si="4"/>
        <v>1386952.9592461744</v>
      </c>
      <c r="AM22" s="14">
        <v>42972</v>
      </c>
      <c r="AO22" s="12">
        <f t="shared" si="88"/>
        <v>24</v>
      </c>
      <c r="AP22" s="13">
        <f t="shared" si="5"/>
        <v>3651914.0898223086</v>
      </c>
      <c r="AQ22" s="14">
        <v>42975</v>
      </c>
      <c r="AS22" s="12">
        <f t="shared" si="89"/>
        <v>14</v>
      </c>
      <c r="AT22" s="13">
        <f t="shared" si="6"/>
        <v>1233835.081028454</v>
      </c>
      <c r="AU22" s="14">
        <v>42975</v>
      </c>
      <c r="AW22" s="65">
        <f t="shared" si="90"/>
        <v>16</v>
      </c>
      <c r="AX22" s="13">
        <f t="shared" si="7"/>
        <v>697114.23179805349</v>
      </c>
      <c r="AY22" s="14">
        <v>42977</v>
      </c>
      <c r="BA22" s="65">
        <f t="shared" si="91"/>
        <v>13</v>
      </c>
      <c r="BB22" s="13">
        <f t="shared" si="8"/>
        <v>617871.43129809783</v>
      </c>
      <c r="BC22" s="14">
        <v>42977</v>
      </c>
      <c r="BE22" s="65">
        <f t="shared" si="92"/>
        <v>20</v>
      </c>
      <c r="BF22" s="13">
        <f t="shared" si="9"/>
        <v>1392994.5299977036</v>
      </c>
      <c r="BG22" s="14">
        <v>42978</v>
      </c>
      <c r="BI22" s="65">
        <f t="shared" si="93"/>
        <v>9</v>
      </c>
      <c r="BJ22" s="13">
        <f t="shared" si="10"/>
        <v>2490052.8882989166</v>
      </c>
      <c r="BK22" s="14">
        <v>42982</v>
      </c>
      <c r="BM22" s="65">
        <f t="shared" si="94"/>
        <v>38</v>
      </c>
      <c r="BN22" s="13">
        <f t="shared" si="11"/>
        <v>1863442.5087354463</v>
      </c>
      <c r="BO22" s="14">
        <v>42982</v>
      </c>
      <c r="BQ22" s="65">
        <f t="shared" si="95"/>
        <v>43</v>
      </c>
      <c r="BR22" s="13">
        <f t="shared" si="12"/>
        <v>4289900.3927380098</v>
      </c>
      <c r="BS22" s="14">
        <v>42989</v>
      </c>
      <c r="BU22" s="65">
        <f t="shared" si="96"/>
        <v>12</v>
      </c>
      <c r="BV22" s="13">
        <f t="shared" si="13"/>
        <v>1610870.0955376637</v>
      </c>
      <c r="BW22" s="14">
        <v>42998</v>
      </c>
      <c r="BY22" s="65">
        <f t="shared" si="97"/>
        <v>12</v>
      </c>
      <c r="BZ22" s="13">
        <f t="shared" si="14"/>
        <v>1610870.0955376637</v>
      </c>
      <c r="CA22" s="14">
        <v>42998</v>
      </c>
      <c r="CC22" s="65">
        <f t="shared" si="98"/>
        <v>20</v>
      </c>
      <c r="CD22" s="13">
        <f t="shared" si="15"/>
        <v>1622962.2006815444</v>
      </c>
      <c r="CE22" s="14">
        <v>42999</v>
      </c>
      <c r="CG22" s="65">
        <f t="shared" si="99"/>
        <v>28</v>
      </c>
      <c r="CH22" s="13">
        <f t="shared" si="16"/>
        <v>973215.79879402451</v>
      </c>
      <c r="CI22" s="14">
        <v>42999</v>
      </c>
      <c r="CK22" s="65">
        <f t="shared" si="100"/>
        <v>52</v>
      </c>
      <c r="CL22" s="13">
        <f t="shared" si="17"/>
        <v>800513.7892637538</v>
      </c>
      <c r="CM22" s="14">
        <v>43003</v>
      </c>
      <c r="CO22" s="65">
        <f t="shared" si="101"/>
        <v>9</v>
      </c>
      <c r="CP22" s="13">
        <f t="shared" si="18"/>
        <v>1834975.334653324</v>
      </c>
      <c r="CQ22" s="14">
        <v>43005</v>
      </c>
      <c r="CS22" s="65">
        <f t="shared" si="102"/>
        <v>5</v>
      </c>
      <c r="CT22" s="13">
        <f t="shared" si="19"/>
        <v>1596069.8154169216</v>
      </c>
      <c r="CU22" s="14">
        <v>43005</v>
      </c>
      <c r="CW22" s="65">
        <f t="shared" si="103"/>
        <v>34</v>
      </c>
      <c r="CX22" s="13">
        <f t="shared" si="20"/>
        <v>2546705.4408470318</v>
      </c>
      <c r="CY22" s="14">
        <v>43007</v>
      </c>
      <c r="DA22" s="65">
        <f t="shared" si="104"/>
        <v>14</v>
      </c>
      <c r="DB22" s="13">
        <f t="shared" si="21"/>
        <v>2811773.1274852301</v>
      </c>
      <c r="DC22" s="14">
        <v>43012</v>
      </c>
      <c r="DE22" s="65">
        <f t="shared" si="105"/>
        <v>33</v>
      </c>
      <c r="DF22" s="13">
        <f t="shared" si="22"/>
        <v>3198384.1628674367</v>
      </c>
      <c r="DG22" s="14">
        <v>43013</v>
      </c>
      <c r="DI22" s="65"/>
      <c r="DJ22" s="13"/>
      <c r="DK22" s="14"/>
      <c r="DM22" s="65">
        <f t="shared" si="107"/>
        <v>6</v>
      </c>
      <c r="DN22" s="13">
        <f t="shared" si="24"/>
        <v>785056.27386104746</v>
      </c>
      <c r="DO22" s="14">
        <v>43020</v>
      </c>
      <c r="DQ22" s="65"/>
      <c r="DR22" s="13"/>
      <c r="DS22" s="14"/>
      <c r="DU22" s="65">
        <f t="shared" si="109"/>
        <v>78</v>
      </c>
      <c r="DV22" s="13">
        <f t="shared" si="26"/>
        <v>2329648.9169196384</v>
      </c>
      <c r="DW22" s="14">
        <v>43024</v>
      </c>
      <c r="DY22" s="65">
        <f t="shared" si="110"/>
        <v>89</v>
      </c>
      <c r="DZ22" s="13">
        <f>($EA$2/(1+$EA$4*DY22/360))</f>
        <v>791779.541903098</v>
      </c>
      <c r="EA22" s="14">
        <v>43027</v>
      </c>
      <c r="EC22" s="65">
        <f t="shared" si="111"/>
        <v>14</v>
      </c>
      <c r="ED22" s="13">
        <f t="shared" si="28"/>
        <v>1261211.325393969</v>
      </c>
      <c r="EE22" s="14">
        <v>43028</v>
      </c>
      <c r="EG22" s="65">
        <f t="shared" si="112"/>
        <v>22</v>
      </c>
      <c r="EH22" s="13">
        <f t="shared" si="29"/>
        <v>1591893.6398087014</v>
      </c>
      <c r="EI22" s="14">
        <v>43033</v>
      </c>
      <c r="EK22" s="65">
        <f t="shared" si="113"/>
        <v>3</v>
      </c>
      <c r="EL22" s="13">
        <f t="shared" si="30"/>
        <v>968879.5336632916</v>
      </c>
      <c r="EM22" s="14">
        <v>43038</v>
      </c>
      <c r="EO22" s="65">
        <f t="shared" si="114"/>
        <v>63</v>
      </c>
      <c r="EP22" s="13">
        <f t="shared" si="31"/>
        <v>1278970.2306841812</v>
      </c>
      <c r="EQ22" s="14">
        <v>43039</v>
      </c>
      <c r="ES22" s="65">
        <f t="shared" si="115"/>
        <v>20</v>
      </c>
      <c r="ET22" s="13">
        <f t="shared" si="32"/>
        <v>1602627.9454047878</v>
      </c>
      <c r="EU22" s="14">
        <v>43039</v>
      </c>
      <c r="EW22" s="65"/>
      <c r="EX22" s="13"/>
      <c r="EY22" s="14"/>
      <c r="FA22" s="65">
        <f t="shared" si="117"/>
        <v>62</v>
      </c>
      <c r="FB22" s="13">
        <f t="shared" si="34"/>
        <v>1258542.9629508147</v>
      </c>
      <c r="FC22" s="14">
        <v>43046</v>
      </c>
      <c r="FE22" s="65">
        <f t="shared" si="118"/>
        <v>57</v>
      </c>
      <c r="FF22" s="13">
        <f t="shared" si="35"/>
        <v>3150630.4192610644</v>
      </c>
      <c r="FG22" s="14">
        <v>43046</v>
      </c>
      <c r="FI22" s="65">
        <f t="shared" si="119"/>
        <v>54</v>
      </c>
      <c r="FJ22" s="13">
        <f t="shared" si="36"/>
        <v>1739840.0934103343</v>
      </c>
      <c r="FK22" s="14">
        <v>43048</v>
      </c>
      <c r="FM22" s="65">
        <f t="shared" si="120"/>
        <v>20</v>
      </c>
      <c r="FN22" s="13">
        <f t="shared" si="37"/>
        <v>1140494.0269362505</v>
      </c>
      <c r="FO22" s="14">
        <v>43053</v>
      </c>
      <c r="FQ22" s="65">
        <f t="shared" si="121"/>
        <v>16</v>
      </c>
      <c r="FR22" s="13">
        <f t="shared" si="38"/>
        <v>1409821.5464233831</v>
      </c>
      <c r="FS22" s="14">
        <v>43053</v>
      </c>
      <c r="FU22" s="65">
        <f t="shared" si="122"/>
        <v>29</v>
      </c>
      <c r="FV22" s="13">
        <f t="shared" si="39"/>
        <v>1903806.3910589751</v>
      </c>
      <c r="FW22" s="14">
        <v>43055</v>
      </c>
      <c r="FY22" s="65">
        <f t="shared" si="123"/>
        <v>15</v>
      </c>
      <c r="FZ22" s="13">
        <f t="shared" si="40"/>
        <v>3944553.2141840337</v>
      </c>
      <c r="GA22" s="14">
        <v>43055</v>
      </c>
      <c r="GC22" s="65">
        <f t="shared" si="124"/>
        <v>19</v>
      </c>
      <c r="GD22" s="13">
        <f t="shared" si="41"/>
        <v>867555.88518569537</v>
      </c>
      <c r="GE22" s="14">
        <v>43056</v>
      </c>
      <c r="GG22" s="65">
        <f t="shared" si="125"/>
        <v>15</v>
      </c>
      <c r="GH22" s="13">
        <f t="shared" si="42"/>
        <v>2840013.419736194</v>
      </c>
      <c r="GI22" s="14">
        <v>43060</v>
      </c>
      <c r="GK22" s="65">
        <f t="shared" si="126"/>
        <v>6</v>
      </c>
      <c r="GL22" s="13">
        <f t="shared" si="43"/>
        <v>946702.63460210839</v>
      </c>
      <c r="GM22" s="14">
        <v>43077</v>
      </c>
      <c r="GO22" s="65">
        <f t="shared" si="127"/>
        <v>16</v>
      </c>
      <c r="GP22" s="13">
        <f t="shared" si="44"/>
        <v>1257401.2165067601</v>
      </c>
      <c r="GQ22" s="14">
        <v>43080</v>
      </c>
      <c r="GS22" s="65">
        <f t="shared" si="128"/>
        <v>21</v>
      </c>
      <c r="GT22" s="13">
        <f t="shared" si="45"/>
        <v>1547981.741742467</v>
      </c>
      <c r="GU22" s="14">
        <v>43083</v>
      </c>
      <c r="GW22" s="65">
        <f t="shared" si="129"/>
        <v>21</v>
      </c>
      <c r="GX22" s="13">
        <f t="shared" si="46"/>
        <v>922204.15301340015</v>
      </c>
      <c r="GY22" s="14">
        <v>43084</v>
      </c>
      <c r="HA22" s="65">
        <f t="shared" si="130"/>
        <v>21</v>
      </c>
      <c r="HB22" s="13">
        <f t="shared" si="47"/>
        <v>1537114.3241553176</v>
      </c>
      <c r="HC22" s="14">
        <v>43084</v>
      </c>
      <c r="HE22" s="65">
        <f t="shared" si="131"/>
        <v>16</v>
      </c>
      <c r="HF22" s="13">
        <f t="shared" si="48"/>
        <v>1101489.8016721772</v>
      </c>
      <c r="HG22" s="14">
        <v>43088</v>
      </c>
      <c r="HI22" s="65"/>
      <c r="HJ22" s="13"/>
      <c r="HK22" s="14"/>
      <c r="HM22" s="65"/>
      <c r="HN22" s="13"/>
      <c r="HO22" s="14"/>
      <c r="HQ22" s="65">
        <f t="shared" si="134"/>
        <v>18</v>
      </c>
      <c r="HR22" s="13">
        <f t="shared" si="51"/>
        <v>3044171.704018164</v>
      </c>
      <c r="HS22" s="14">
        <v>43090</v>
      </c>
      <c r="HU22" s="65"/>
      <c r="HV22" s="13"/>
      <c r="HW22" s="14"/>
      <c r="HY22" s="65"/>
      <c r="HZ22" s="13"/>
      <c r="IA22" s="14"/>
      <c r="IC22" s="65"/>
      <c r="ID22" s="13"/>
      <c r="IE22" s="14"/>
      <c r="IG22" s="65">
        <f t="shared" si="138"/>
        <v>19</v>
      </c>
      <c r="IH22" s="13">
        <f t="shared" si="55"/>
        <v>1284140.4151659873</v>
      </c>
      <c r="II22" s="14">
        <v>43105</v>
      </c>
      <c r="IK22" s="65">
        <f t="shared" si="139"/>
        <v>27</v>
      </c>
      <c r="IL22" s="13">
        <f t="shared" si="56"/>
        <v>2581138.9897247739</v>
      </c>
      <c r="IM22" s="14">
        <v>43109</v>
      </c>
      <c r="IO22" s="65">
        <f t="shared" si="140"/>
        <v>19</v>
      </c>
      <c r="IP22" s="13">
        <f t="shared" si="57"/>
        <v>1134567.2416948166</v>
      </c>
      <c r="IQ22" s="14">
        <v>43110</v>
      </c>
      <c r="IS22" s="65">
        <f t="shared" si="141"/>
        <v>16</v>
      </c>
      <c r="IT22" s="13">
        <f t="shared" si="58"/>
        <v>1489021.2201396711</v>
      </c>
      <c r="IU22" s="14">
        <v>43116</v>
      </c>
      <c r="IW22" s="65">
        <f t="shared" si="142"/>
        <v>20</v>
      </c>
      <c r="IX22" s="13">
        <f t="shared" si="59"/>
        <v>1644590.0667916359</v>
      </c>
      <c r="IY22" s="14">
        <v>43116</v>
      </c>
      <c r="JA22" s="65">
        <f t="shared" si="143"/>
        <v>44</v>
      </c>
      <c r="JB22" s="13">
        <f t="shared" si="60"/>
        <v>986449.1949733526</v>
      </c>
      <c r="JC22" s="14">
        <v>43122</v>
      </c>
      <c r="JE22" s="65">
        <f t="shared" si="144"/>
        <v>27</v>
      </c>
      <c r="JF22" s="13">
        <f t="shared" si="61"/>
        <v>1481555.7656936669</v>
      </c>
      <c r="JG22" s="14">
        <v>43133</v>
      </c>
      <c r="JI22" s="65">
        <f t="shared" si="145"/>
        <v>6</v>
      </c>
      <c r="JJ22" s="13">
        <f t="shared" si="62"/>
        <v>993463.76817872934</v>
      </c>
      <c r="JK22" s="14">
        <v>43138</v>
      </c>
      <c r="JM22" s="65">
        <f t="shared" si="146"/>
        <v>15</v>
      </c>
      <c r="JN22" s="13">
        <f t="shared" si="63"/>
        <v>992830.41396870569</v>
      </c>
      <c r="JO22" s="14">
        <v>43138</v>
      </c>
      <c r="JQ22" s="65">
        <f t="shared" si="147"/>
        <v>21</v>
      </c>
      <c r="JR22" s="13">
        <f t="shared" si="64"/>
        <v>1499699.0817668161</v>
      </c>
      <c r="JS22" s="14">
        <v>43139</v>
      </c>
      <c r="JU22" s="65">
        <f t="shared" si="148"/>
        <v>49</v>
      </c>
      <c r="JV22" s="13">
        <f t="shared" si="65"/>
        <v>1650466.3156873712</v>
      </c>
      <c r="JW22" s="14">
        <v>43144</v>
      </c>
      <c r="JY22" s="65">
        <f t="shared" si="149"/>
        <v>27</v>
      </c>
      <c r="JZ22" s="13">
        <f t="shared" si="66"/>
        <v>1481555.7656936669</v>
      </c>
      <c r="KA22" s="14">
        <v>43133</v>
      </c>
      <c r="KC22" s="65">
        <f t="shared" si="150"/>
        <v>6</v>
      </c>
      <c r="KD22" s="13">
        <f t="shared" si="67"/>
        <v>993463.76817872934</v>
      </c>
      <c r="KE22" s="14">
        <v>43138</v>
      </c>
      <c r="KG22" s="65">
        <f t="shared" si="151"/>
        <v>15</v>
      </c>
      <c r="KH22" s="13">
        <f t="shared" si="68"/>
        <v>992830.41396870569</v>
      </c>
      <c r="KI22" s="14">
        <v>43138</v>
      </c>
      <c r="KK22" s="65">
        <f t="shared" si="152"/>
        <v>21</v>
      </c>
      <c r="KL22" s="13">
        <f t="shared" si="69"/>
        <v>1499699.0817668161</v>
      </c>
      <c r="KM22" s="14">
        <v>43139</v>
      </c>
      <c r="KO22" s="65">
        <f t="shared" si="153"/>
        <v>10</v>
      </c>
      <c r="KP22" s="13">
        <f t="shared" si="70"/>
        <v>3314461.5243585021</v>
      </c>
      <c r="KQ22" s="14">
        <v>43182</v>
      </c>
      <c r="KS22" s="65">
        <f t="shared" si="154"/>
        <v>37</v>
      </c>
      <c r="KT22" s="13">
        <f t="shared" si="71"/>
        <v>3304614.2529062848</v>
      </c>
      <c r="KU22" s="14">
        <v>43185</v>
      </c>
      <c r="KW22" s="65">
        <f t="shared" si="155"/>
        <v>28</v>
      </c>
      <c r="KX22" s="13">
        <f t="shared" si="72"/>
        <v>2986334.5015767124</v>
      </c>
      <c r="KY22" s="14">
        <v>43187</v>
      </c>
      <c r="LA22" s="65">
        <f t="shared" si="156"/>
        <v>65</v>
      </c>
      <c r="LB22" s="13">
        <f t="shared" si="73"/>
        <v>2629341.3797693825</v>
      </c>
      <c r="LC22" s="14">
        <v>43199</v>
      </c>
      <c r="LE22" s="65">
        <f t="shared" si="157"/>
        <v>6</v>
      </c>
      <c r="LF22" s="13">
        <f t="shared" si="74"/>
        <v>994818.12193946226</v>
      </c>
      <c r="LG22" s="14">
        <v>43202</v>
      </c>
      <c r="LI22" s="65">
        <f t="shared" si="158"/>
        <v>25</v>
      </c>
      <c r="LJ22" s="13">
        <f t="shared" si="75"/>
        <v>2482862.4658226431</v>
      </c>
      <c r="LK22" s="14">
        <v>43206</v>
      </c>
      <c r="LM22" s="65">
        <f t="shared" si="159"/>
        <v>53</v>
      </c>
      <c r="LN22" s="13">
        <f t="shared" si="76"/>
        <v>743361.42952507141</v>
      </c>
      <c r="LO22" s="14">
        <v>43209</v>
      </c>
      <c r="LQ22" s="65">
        <f t="shared" si="160"/>
        <v>22</v>
      </c>
      <c r="LR22" s="13">
        <f t="shared" si="77"/>
        <v>2774553.1754838503</v>
      </c>
      <c r="LS22" s="14">
        <v>43222</v>
      </c>
      <c r="LU22" s="65">
        <f t="shared" si="161"/>
        <v>0</v>
      </c>
      <c r="LV22" s="13">
        <f>($LW$2/(1+$LW$4*LU22/360))*0</f>
        <v>0</v>
      </c>
      <c r="LW22" s="14">
        <v>43227</v>
      </c>
      <c r="LY22" s="65">
        <f t="shared" si="162"/>
        <v>25</v>
      </c>
      <c r="LZ22" s="13">
        <f t="shared" si="79"/>
        <v>975336.4513421997</v>
      </c>
      <c r="MA22" s="14">
        <v>43234</v>
      </c>
      <c r="MC22" s="65">
        <f t="shared" si="163"/>
        <v>20</v>
      </c>
      <c r="MD22" s="13">
        <f t="shared" si="80"/>
        <v>2863804.9792711404</v>
      </c>
      <c r="ME22" s="14">
        <v>43236</v>
      </c>
      <c r="MG22" s="65">
        <f t="shared" si="164"/>
        <v>15</v>
      </c>
      <c r="MH22" s="13">
        <f t="shared" si="81"/>
        <v>1772277.4562488808</v>
      </c>
      <c r="MI22" s="14">
        <v>43237</v>
      </c>
      <c r="MK22" s="65">
        <f t="shared" si="165"/>
        <v>9</v>
      </c>
      <c r="ML22" s="13">
        <f t="shared" si="82"/>
        <v>1582535.9906805037</v>
      </c>
      <c r="MM22" s="14">
        <v>43243</v>
      </c>
      <c r="MO22" s="65">
        <f t="shared" si="166"/>
        <v>6</v>
      </c>
      <c r="MP22" s="13">
        <f t="shared" si="83"/>
        <v>1455864.1253529459</v>
      </c>
      <c r="MQ22" s="14">
        <v>43245</v>
      </c>
      <c r="MS22" s="65">
        <f t="shared" si="167"/>
        <v>7</v>
      </c>
      <c r="MT22" s="13">
        <f t="shared" si="84"/>
        <v>1441601.3055569772</v>
      </c>
      <c r="MU22" s="14">
        <v>43248</v>
      </c>
    </row>
    <row r="23" spans="1:359" x14ac:dyDescent="0.25">
      <c r="A23" s="15">
        <f t="shared" si="1"/>
        <v>731722.7833300858</v>
      </c>
      <c r="B23" s="20">
        <v>42717</v>
      </c>
      <c r="D23" s="12">
        <v>153</v>
      </c>
      <c r="E23" s="17">
        <v>1140001.4462183742</v>
      </c>
      <c r="F23" s="14">
        <v>42447</v>
      </c>
      <c r="I23" s="12">
        <v>18</v>
      </c>
      <c r="J23" s="17">
        <v>1191833.8879135053</v>
      </c>
      <c r="K23" s="14">
        <v>42489</v>
      </c>
      <c r="N23" s="12">
        <f t="shared" si="85"/>
        <v>83</v>
      </c>
      <c r="O23" s="13">
        <f t="shared" si="2"/>
        <v>731722.7833300858</v>
      </c>
      <c r="P23" s="14">
        <v>42717</v>
      </c>
      <c r="T23" s="15">
        <f t="shared" si="3"/>
        <v>1534866.9485630235</v>
      </c>
      <c r="U23" s="20">
        <v>42966</v>
      </c>
      <c r="W23" s="12">
        <v>153</v>
      </c>
      <c r="X23" s="17">
        <v>1140001.4462183742</v>
      </c>
      <c r="Y23" s="14">
        <v>42447</v>
      </c>
      <c r="AB23" s="12">
        <v>18</v>
      </c>
      <c r="AC23" s="17">
        <v>1191833.8879135053</v>
      </c>
      <c r="AD23" s="14">
        <v>42489</v>
      </c>
      <c r="AG23" s="12">
        <f t="shared" si="86"/>
        <v>18</v>
      </c>
      <c r="AH23" s="13">
        <f t="shared" si="0"/>
        <v>1534866.9485630235</v>
      </c>
      <c r="AI23" s="14">
        <v>42966</v>
      </c>
      <c r="AK23" s="12">
        <f t="shared" si="87"/>
        <v>25</v>
      </c>
      <c r="AL23" s="13">
        <f t="shared" si="4"/>
        <v>1387022.3855677457</v>
      </c>
      <c r="AM23" s="14">
        <v>42973</v>
      </c>
      <c r="AO23" s="12">
        <f t="shared" si="88"/>
        <v>23</v>
      </c>
      <c r="AP23" s="13">
        <f t="shared" si="5"/>
        <v>3652113.1674620984</v>
      </c>
      <c r="AQ23" s="14">
        <v>42976</v>
      </c>
      <c r="AS23" s="12">
        <f t="shared" si="89"/>
        <v>13</v>
      </c>
      <c r="AT23" s="13">
        <f t="shared" si="6"/>
        <v>1233909.1463037641</v>
      </c>
      <c r="AU23" s="14">
        <v>42976</v>
      </c>
      <c r="AW23" s="65">
        <f t="shared" si="90"/>
        <v>15</v>
      </c>
      <c r="AX23" s="13">
        <f t="shared" si="7"/>
        <v>697151.24209086224</v>
      </c>
      <c r="AY23" s="14">
        <v>42978</v>
      </c>
      <c r="BA23" s="65">
        <f t="shared" si="91"/>
        <v>12</v>
      </c>
      <c r="BB23" s="13">
        <f t="shared" si="8"/>
        <v>617908.42601515644</v>
      </c>
      <c r="BC23" s="14">
        <v>42978</v>
      </c>
      <c r="BE23" s="65">
        <f t="shared" si="92"/>
        <v>19</v>
      </c>
      <c r="BF23" s="13">
        <f t="shared" si="9"/>
        <v>1393074.3206375872</v>
      </c>
      <c r="BG23" s="14">
        <v>42979</v>
      </c>
      <c r="BI23" s="65">
        <f t="shared" si="93"/>
        <v>8</v>
      </c>
      <c r="BJ23" s="13">
        <f t="shared" si="10"/>
        <v>2490184.9259726349</v>
      </c>
      <c r="BK23" s="14">
        <v>42983</v>
      </c>
      <c r="BM23" s="65">
        <f t="shared" si="94"/>
        <v>37</v>
      </c>
      <c r="BN23" s="13">
        <f t="shared" si="11"/>
        <v>1863541.4645491354</v>
      </c>
      <c r="BO23" s="14">
        <v>42983</v>
      </c>
      <c r="BQ23" s="65">
        <f t="shared" si="95"/>
        <v>42</v>
      </c>
      <c r="BR23" s="13">
        <f t="shared" si="12"/>
        <v>4290199.7130171321</v>
      </c>
      <c r="BS23" s="14">
        <v>42990</v>
      </c>
      <c r="BU23" s="65">
        <f t="shared" si="96"/>
        <v>11</v>
      </c>
      <c r="BV23" s="13">
        <f t="shared" si="13"/>
        <v>1610944.16675843</v>
      </c>
      <c r="BW23" s="14">
        <v>42999</v>
      </c>
      <c r="BY23" s="65">
        <f t="shared" si="97"/>
        <v>11</v>
      </c>
      <c r="BZ23" s="13">
        <f t="shared" si="14"/>
        <v>1610944.16675843</v>
      </c>
      <c r="CA23" s="14">
        <v>42999</v>
      </c>
      <c r="CC23" s="65">
        <f t="shared" si="98"/>
        <v>19</v>
      </c>
      <c r="CD23" s="13">
        <f t="shared" si="15"/>
        <v>1623032.9655540639</v>
      </c>
      <c r="CE23" s="14">
        <v>43000</v>
      </c>
      <c r="CG23" s="65">
        <f t="shared" si="99"/>
        <v>27</v>
      </c>
      <c r="CH23" s="13">
        <f t="shared" si="16"/>
        <v>973258.80576797691</v>
      </c>
      <c r="CI23" s="14">
        <v>43000</v>
      </c>
      <c r="CK23" s="65">
        <f t="shared" si="100"/>
        <v>51</v>
      </c>
      <c r="CL23" s="13">
        <f t="shared" si="17"/>
        <v>800551.47294427757</v>
      </c>
      <c r="CM23" s="14">
        <v>43004</v>
      </c>
      <c r="CO23" s="65">
        <f t="shared" si="101"/>
        <v>8</v>
      </c>
      <c r="CP23" s="13">
        <f t="shared" si="18"/>
        <v>1835047.3716666256</v>
      </c>
      <c r="CQ23" s="14">
        <v>43006</v>
      </c>
      <c r="CS23" s="65">
        <f t="shared" si="102"/>
        <v>4</v>
      </c>
      <c r="CT23" s="13">
        <f t="shared" si="19"/>
        <v>1596130.450337105</v>
      </c>
      <c r="CU23" s="14">
        <v>43006</v>
      </c>
      <c r="CW23" s="65">
        <f t="shared" si="103"/>
        <v>33</v>
      </c>
      <c r="CX23" s="13">
        <f t="shared" si="20"/>
        <v>2546819.0275629708</v>
      </c>
      <c r="CY23" s="14">
        <v>43008</v>
      </c>
      <c r="DA23" s="65">
        <f t="shared" si="104"/>
        <v>13</v>
      </c>
      <c r="DB23" s="13">
        <f t="shared" si="21"/>
        <v>2811899.9766583033</v>
      </c>
      <c r="DC23" s="14">
        <v>43013</v>
      </c>
      <c r="DE23" s="65">
        <f t="shared" si="105"/>
        <v>32</v>
      </c>
      <c r="DF23" s="13">
        <f t="shared" si="22"/>
        <v>3198541.6070992872</v>
      </c>
      <c r="DG23" s="14">
        <v>43014</v>
      </c>
      <c r="DI23" s="65"/>
      <c r="DJ23" s="13"/>
      <c r="DK23" s="14"/>
      <c r="DM23" s="65">
        <f t="shared" si="107"/>
        <v>5</v>
      </c>
      <c r="DN23" s="13">
        <f t="shared" si="24"/>
        <v>785094.69589420001</v>
      </c>
      <c r="DO23" s="14">
        <v>43021</v>
      </c>
      <c r="DQ23" s="65"/>
      <c r="DR23" s="13"/>
      <c r="DS23" s="14"/>
      <c r="DU23" s="65">
        <f t="shared" si="109"/>
        <v>77</v>
      </c>
      <c r="DV23" s="13">
        <f t="shared" si="26"/>
        <v>2329763.6764335521</v>
      </c>
      <c r="DW23" s="14">
        <v>43025</v>
      </c>
      <c r="DY23" s="65">
        <f t="shared" si="110"/>
        <v>88</v>
      </c>
      <c r="DZ23" s="13">
        <f t="shared" si="27"/>
        <v>791820.94734966557</v>
      </c>
      <c r="EA23" s="14">
        <v>43028</v>
      </c>
      <c r="EC23" s="65">
        <f t="shared" si="111"/>
        <v>13</v>
      </c>
      <c r="ED23" s="13">
        <f t="shared" si="28"/>
        <v>1261272.5159932154</v>
      </c>
      <c r="EE23" s="14">
        <v>43029</v>
      </c>
      <c r="EG23" s="65">
        <f t="shared" si="112"/>
        <v>21</v>
      </c>
      <c r="EH23" s="13">
        <f t="shared" si="29"/>
        <v>1591979.1908471929</v>
      </c>
      <c r="EI23" s="14">
        <v>43034</v>
      </c>
      <c r="EK23" s="65">
        <f t="shared" si="113"/>
        <v>2</v>
      </c>
      <c r="EL23" s="13">
        <f t="shared" si="30"/>
        <v>968927.53385453497</v>
      </c>
      <c r="EM23" s="14">
        <v>43039</v>
      </c>
      <c r="EO23" s="65">
        <f t="shared" si="114"/>
        <v>62</v>
      </c>
      <c r="EP23" s="13">
        <f t="shared" si="31"/>
        <v>1279044.9876483865</v>
      </c>
      <c r="EQ23" s="14">
        <v>43040</v>
      </c>
      <c r="ES23" s="65">
        <f t="shared" si="115"/>
        <v>19</v>
      </c>
      <c r="ET23" s="13">
        <f t="shared" si="32"/>
        <v>1602721.0740385137</v>
      </c>
      <c r="EU23" s="14">
        <v>43040</v>
      </c>
      <c r="EW23" s="65"/>
      <c r="EX23" s="13"/>
      <c r="EY23" s="14"/>
      <c r="FA23" s="65">
        <f t="shared" si="117"/>
        <v>61</v>
      </c>
      <c r="FB23" s="13">
        <f t="shared" si="34"/>
        <v>1258617.8749865657</v>
      </c>
      <c r="FC23" s="14">
        <v>43047</v>
      </c>
      <c r="FE23" s="65">
        <f t="shared" si="118"/>
        <v>56</v>
      </c>
      <c r="FF23" s="13">
        <f t="shared" si="35"/>
        <v>3150806.6319162063</v>
      </c>
      <c r="FG23" s="14">
        <v>43047</v>
      </c>
      <c r="FI23" s="65">
        <f t="shared" si="119"/>
        <v>53</v>
      </c>
      <c r="FJ23" s="13">
        <f t="shared" si="36"/>
        <v>1739946.1999166664</v>
      </c>
      <c r="FK23" s="14">
        <v>43049</v>
      </c>
      <c r="FM23" s="65">
        <f t="shared" si="120"/>
        <v>19</v>
      </c>
      <c r="FN23" s="13">
        <f t="shared" si="37"/>
        <v>1140561.7519886722</v>
      </c>
      <c r="FO23" s="14">
        <v>43054</v>
      </c>
      <c r="FQ23" s="65">
        <f t="shared" si="121"/>
        <v>15</v>
      </c>
      <c r="FR23" s="13">
        <f t="shared" si="38"/>
        <v>1409904.1837614672</v>
      </c>
      <c r="FS23" s="14">
        <v>43054</v>
      </c>
      <c r="FU23" s="65">
        <f t="shared" si="122"/>
        <v>28</v>
      </c>
      <c r="FV23" s="13">
        <f t="shared" si="39"/>
        <v>1903919.1276121053</v>
      </c>
      <c r="FW23" s="14">
        <v>43056</v>
      </c>
      <c r="FY23" s="65">
        <f t="shared" si="123"/>
        <v>14</v>
      </c>
      <c r="FZ23" s="13">
        <f t="shared" si="40"/>
        <v>3944775.3498236099</v>
      </c>
      <c r="GA23" s="14">
        <v>43056</v>
      </c>
      <c r="GC23" s="65">
        <f t="shared" si="124"/>
        <v>18</v>
      </c>
      <c r="GD23" s="13">
        <f t="shared" si="41"/>
        <v>867604.49852524139</v>
      </c>
      <c r="GE23" s="14">
        <v>43057</v>
      </c>
      <c r="GG23" s="65">
        <f t="shared" si="125"/>
        <v>14</v>
      </c>
      <c r="GH23" s="13">
        <f t="shared" si="42"/>
        <v>2840168.7141302987</v>
      </c>
      <c r="GI23" s="14">
        <v>43061</v>
      </c>
      <c r="GK23" s="65">
        <f t="shared" si="126"/>
        <v>5</v>
      </c>
      <c r="GL23" s="13">
        <f t="shared" si="43"/>
        <v>946772.03401552769</v>
      </c>
      <c r="GM23" s="14">
        <v>43078</v>
      </c>
      <c r="GO23" s="65">
        <f t="shared" si="127"/>
        <v>15</v>
      </c>
      <c r="GP23" s="13">
        <f t="shared" si="44"/>
        <v>1257504.1023807898</v>
      </c>
      <c r="GQ23" s="14">
        <v>43081</v>
      </c>
      <c r="GS23" s="65">
        <f t="shared" si="128"/>
        <v>20</v>
      </c>
      <c r="GT23" s="13">
        <f t="shared" si="45"/>
        <v>1548106.4079989141</v>
      </c>
      <c r="GU23" s="14">
        <v>43084</v>
      </c>
      <c r="GW23" s="65">
        <f t="shared" si="129"/>
        <v>20</v>
      </c>
      <c r="GX23" s="13">
        <f t="shared" si="46"/>
        <v>922275.37850571983</v>
      </c>
      <c r="GY23" s="14">
        <v>43085</v>
      </c>
      <c r="HA23" s="65">
        <f t="shared" si="130"/>
        <v>20</v>
      </c>
      <c r="HB23" s="13">
        <f t="shared" si="47"/>
        <v>1537227.9338391775</v>
      </c>
      <c r="HC23" s="14">
        <v>43085</v>
      </c>
      <c r="HE23" s="65">
        <f t="shared" si="131"/>
        <v>15</v>
      </c>
      <c r="HF23" s="13">
        <f t="shared" si="48"/>
        <v>1101573.0274383128</v>
      </c>
      <c r="HG23" s="14">
        <v>43089</v>
      </c>
      <c r="HI23" s="65"/>
      <c r="HJ23" s="13"/>
      <c r="HK23" s="14"/>
      <c r="HM23" s="65"/>
      <c r="HN23" s="13"/>
      <c r="HO23" s="14"/>
      <c r="HQ23" s="65">
        <f t="shared" si="134"/>
        <v>17</v>
      </c>
      <c r="HR23" s="13">
        <f t="shared" si="51"/>
        <v>3044445.4043610371</v>
      </c>
      <c r="HS23" s="14">
        <v>43091</v>
      </c>
      <c r="HU23" s="65"/>
      <c r="HV23" s="13"/>
      <c r="HW23" s="14"/>
      <c r="HY23" s="65"/>
      <c r="HZ23" s="13"/>
      <c r="IA23" s="14"/>
      <c r="IC23" s="65"/>
      <c r="ID23" s="13"/>
      <c r="IE23" s="14"/>
      <c r="IG23" s="65">
        <f t="shared" si="138"/>
        <v>18</v>
      </c>
      <c r="IH23" s="13">
        <f t="shared" si="55"/>
        <v>1284247.2665901149</v>
      </c>
      <c r="II23" s="14">
        <v>43106</v>
      </c>
      <c r="IK23" s="65">
        <f t="shared" si="139"/>
        <v>26</v>
      </c>
      <c r="IL23" s="13">
        <f t="shared" si="56"/>
        <v>2581356.6704434971</v>
      </c>
      <c r="IM23" s="14">
        <v>43110</v>
      </c>
      <c r="IO23" s="65">
        <f t="shared" si="140"/>
        <v>18</v>
      </c>
      <c r="IP23" s="13">
        <f t="shared" si="57"/>
        <v>1134661.6473564652</v>
      </c>
      <c r="IQ23" s="14">
        <v>43111</v>
      </c>
      <c r="IS23" s="65">
        <f t="shared" si="141"/>
        <v>15</v>
      </c>
      <c r="IT23" s="13">
        <f t="shared" si="58"/>
        <v>1489114.876284973</v>
      </c>
      <c r="IU23" s="14">
        <v>43117</v>
      </c>
      <c r="IW23" s="65">
        <f t="shared" si="142"/>
        <v>19</v>
      </c>
      <c r="IX23" s="13">
        <f t="shared" si="59"/>
        <v>1644692.0749538112</v>
      </c>
      <c r="IY23" s="14">
        <v>43117</v>
      </c>
      <c r="JA23" s="65">
        <f t="shared" si="143"/>
        <v>43</v>
      </c>
      <c r="JB23" s="13">
        <f t="shared" si="60"/>
        <v>986501.61779815005</v>
      </c>
      <c r="JC23" s="14">
        <v>43123</v>
      </c>
      <c r="JE23" s="65">
        <f t="shared" si="144"/>
        <v>26</v>
      </c>
      <c r="JF23" s="13">
        <f t="shared" si="61"/>
        <v>1481631.6050020019</v>
      </c>
      <c r="JG23" s="14">
        <v>43134</v>
      </c>
      <c r="JI23" s="65">
        <f t="shared" si="145"/>
        <v>5</v>
      </c>
      <c r="JJ23" s="13">
        <f t="shared" si="62"/>
        <v>993515.18650768592</v>
      </c>
      <c r="JK23" s="14">
        <v>43139</v>
      </c>
      <c r="JM23" s="65">
        <f t="shared" si="146"/>
        <v>14</v>
      </c>
      <c r="JN23" s="13">
        <f t="shared" si="63"/>
        <v>992883.29646976257</v>
      </c>
      <c r="JO23" s="14">
        <v>43139</v>
      </c>
      <c r="JQ23" s="65">
        <f t="shared" si="147"/>
        <v>20</v>
      </c>
      <c r="JR23" s="13">
        <f t="shared" si="64"/>
        <v>1499786.0031100204</v>
      </c>
      <c r="JS23" s="14">
        <v>43140</v>
      </c>
      <c r="JU23" s="65">
        <f t="shared" si="148"/>
        <v>48</v>
      </c>
      <c r="JV23" s="13">
        <f t="shared" si="65"/>
        <v>1650568.5774750137</v>
      </c>
      <c r="JW23" s="14">
        <v>43145</v>
      </c>
      <c r="JY23" s="65">
        <f t="shared" si="149"/>
        <v>26</v>
      </c>
      <c r="JZ23" s="13">
        <f t="shared" si="66"/>
        <v>1481631.6050020019</v>
      </c>
      <c r="KA23" s="14">
        <v>43134</v>
      </c>
      <c r="KC23" s="65">
        <f t="shared" si="150"/>
        <v>5</v>
      </c>
      <c r="KD23" s="13">
        <f t="shared" si="67"/>
        <v>993515.18650768592</v>
      </c>
      <c r="KE23" s="14">
        <v>43139</v>
      </c>
      <c r="KG23" s="65">
        <f t="shared" si="151"/>
        <v>14</v>
      </c>
      <c r="KH23" s="13">
        <f t="shared" si="68"/>
        <v>992883.29646976257</v>
      </c>
      <c r="KI23" s="14">
        <v>43139</v>
      </c>
      <c r="KK23" s="65">
        <f t="shared" si="152"/>
        <v>20</v>
      </c>
      <c r="KL23" s="13">
        <f t="shared" si="69"/>
        <v>1499786.0031100204</v>
      </c>
      <c r="KM23" s="14">
        <v>43140</v>
      </c>
      <c r="KO23" s="65">
        <f t="shared" si="153"/>
        <v>9</v>
      </c>
      <c r="KP23" s="13">
        <f t="shared" si="70"/>
        <v>3314695.6818314586</v>
      </c>
      <c r="KQ23" s="14">
        <v>43183</v>
      </c>
      <c r="KS23" s="65">
        <f t="shared" si="154"/>
        <v>36</v>
      </c>
      <c r="KT23" s="13">
        <f t="shared" si="71"/>
        <v>3304825.9406093904</v>
      </c>
      <c r="KU23" s="14">
        <v>43186</v>
      </c>
      <c r="KW23" s="65">
        <f t="shared" si="155"/>
        <v>27</v>
      </c>
      <c r="KX23" s="13">
        <f t="shared" si="72"/>
        <v>2986519.5313502136</v>
      </c>
      <c r="KY23" s="14">
        <v>43188</v>
      </c>
      <c r="LA23" s="65">
        <f t="shared" si="156"/>
        <v>64</v>
      </c>
      <c r="LB23" s="13">
        <f t="shared" si="73"/>
        <v>2629541.9783381871</v>
      </c>
      <c r="LC23" s="14">
        <v>43200</v>
      </c>
      <c r="LE23" s="65">
        <f t="shared" si="157"/>
        <v>5</v>
      </c>
      <c r="LF23" s="13">
        <f t="shared" si="74"/>
        <v>994907.56253488373</v>
      </c>
      <c r="LG23" s="14">
        <v>43203</v>
      </c>
      <c r="LI23" s="65">
        <f t="shared" si="158"/>
        <v>24</v>
      </c>
      <c r="LJ23" s="13">
        <f t="shared" si="75"/>
        <v>2483033.6724254051</v>
      </c>
      <c r="LK23" s="14">
        <v>43207</v>
      </c>
      <c r="LM23" s="65">
        <f t="shared" si="159"/>
        <v>52</v>
      </c>
      <c r="LN23" s="13">
        <f t="shared" si="76"/>
        <v>743414.45115851541</v>
      </c>
      <c r="LO23" s="14">
        <v>43210</v>
      </c>
      <c r="LQ23" s="65">
        <f t="shared" si="160"/>
        <v>21</v>
      </c>
      <c r="LR23" s="13">
        <f t="shared" si="77"/>
        <v>2774731.4002927872</v>
      </c>
      <c r="LS23" s="14">
        <v>43223</v>
      </c>
      <c r="LU23" s="65"/>
      <c r="LV23" s="13"/>
      <c r="LW23" s="14"/>
      <c r="LY23" s="65">
        <f t="shared" si="162"/>
        <v>24</v>
      </c>
      <c r="LZ23" s="13">
        <f t="shared" si="79"/>
        <v>975402.55929569178</v>
      </c>
      <c r="MA23" s="14">
        <v>43235</v>
      </c>
      <c r="MC23" s="65">
        <f t="shared" si="163"/>
        <v>19</v>
      </c>
      <c r="MD23" s="13">
        <f t="shared" si="80"/>
        <v>2863987.4963933504</v>
      </c>
      <c r="ME23" s="14">
        <v>43237</v>
      </c>
      <c r="MG23" s="65">
        <f t="shared" si="164"/>
        <v>14</v>
      </c>
      <c r="MH23" s="13">
        <f t="shared" si="81"/>
        <v>1772397.4512957479</v>
      </c>
      <c r="MI23" s="14">
        <v>43238</v>
      </c>
      <c r="MK23" s="65">
        <f t="shared" si="165"/>
        <v>8</v>
      </c>
      <c r="ML23" s="13">
        <f t="shared" si="82"/>
        <v>1582638.166730803</v>
      </c>
      <c r="MM23" s="14">
        <v>43244</v>
      </c>
      <c r="MO23" s="65">
        <f t="shared" si="166"/>
        <v>5</v>
      </c>
      <c r="MP23" s="13">
        <f t="shared" si="83"/>
        <v>1455977.7886897612</v>
      </c>
      <c r="MQ23" s="14">
        <v>43246</v>
      </c>
      <c r="MS23" s="65">
        <f t="shared" si="167"/>
        <v>6</v>
      </c>
      <c r="MT23" s="13">
        <f t="shared" si="84"/>
        <v>1441702.1752830811</v>
      </c>
      <c r="MU23" s="14">
        <v>43249</v>
      </c>
    </row>
    <row r="24" spans="1:359" x14ac:dyDescent="0.25">
      <c r="A24" s="15">
        <f t="shared" si="1"/>
        <v>731752.05694489577</v>
      </c>
      <c r="B24" s="20">
        <v>42718</v>
      </c>
      <c r="D24" s="12">
        <v>152</v>
      </c>
      <c r="E24" s="17">
        <v>1140028.5590499907</v>
      </c>
      <c r="F24" s="14">
        <v>42448</v>
      </c>
      <c r="I24" s="12">
        <v>17</v>
      </c>
      <c r="J24" s="17">
        <v>1191848.1401130317</v>
      </c>
      <c r="K24" s="14">
        <v>42490</v>
      </c>
      <c r="N24" s="12">
        <f t="shared" si="85"/>
        <v>82</v>
      </c>
      <c r="O24" s="13">
        <f t="shared" si="2"/>
        <v>731752.05694489577</v>
      </c>
      <c r="P24" s="14">
        <v>42718</v>
      </c>
      <c r="T24" s="15">
        <f t="shared" si="3"/>
        <v>1534945.7718483929</v>
      </c>
      <c r="U24" s="20">
        <v>42967</v>
      </c>
      <c r="W24" s="12">
        <v>152</v>
      </c>
      <c r="X24" s="17">
        <v>1140028.5590499907</v>
      </c>
      <c r="Y24" s="14">
        <v>42448</v>
      </c>
      <c r="AB24" s="12">
        <v>17</v>
      </c>
      <c r="AC24" s="17">
        <v>1191848.1401130317</v>
      </c>
      <c r="AD24" s="14">
        <v>42490</v>
      </c>
      <c r="AG24" s="12">
        <f t="shared" si="86"/>
        <v>17</v>
      </c>
      <c r="AH24" s="13">
        <f t="shared" si="0"/>
        <v>1534945.7718483929</v>
      </c>
      <c r="AI24" s="14">
        <v>42967</v>
      </c>
      <c r="AK24" s="12">
        <f t="shared" si="87"/>
        <v>24</v>
      </c>
      <c r="AL24" s="13">
        <f t="shared" si="4"/>
        <v>1387091.8188401735</v>
      </c>
      <c r="AM24" s="14">
        <v>42974</v>
      </c>
      <c r="AO24" s="12">
        <f t="shared" si="88"/>
        <v>22</v>
      </c>
      <c r="AP24" s="13">
        <f t="shared" si="5"/>
        <v>3652312.266807803</v>
      </c>
      <c r="AQ24" s="14">
        <v>42977</v>
      </c>
      <c r="AS24" s="12">
        <f t="shared" si="89"/>
        <v>12</v>
      </c>
      <c r="AT24" s="13">
        <f t="shared" si="6"/>
        <v>1233983.2204716632</v>
      </c>
      <c r="AU24" s="14">
        <v>42977</v>
      </c>
      <c r="AW24" s="65">
        <f t="shared" si="90"/>
        <v>14</v>
      </c>
      <c r="AX24" s="13">
        <f t="shared" si="7"/>
        <v>697188.25631368533</v>
      </c>
      <c r="AY24" s="14">
        <v>42979</v>
      </c>
      <c r="BA24" s="65">
        <f t="shared" si="91"/>
        <v>11</v>
      </c>
      <c r="BB24" s="13">
        <f t="shared" si="8"/>
        <v>617945.4251625574</v>
      </c>
      <c r="BC24" s="14">
        <v>42979</v>
      </c>
      <c r="BE24" s="65">
        <f t="shared" si="92"/>
        <v>18</v>
      </c>
      <c r="BF24" s="13">
        <f t="shared" si="9"/>
        <v>1393154.1204188</v>
      </c>
      <c r="BG24" s="14">
        <v>42980</v>
      </c>
      <c r="BI24" s="65">
        <f t="shared" si="93"/>
        <v>7</v>
      </c>
      <c r="BJ24" s="13">
        <f t="shared" si="10"/>
        <v>2490316.9776499686</v>
      </c>
      <c r="BK24" s="14">
        <v>42984</v>
      </c>
      <c r="BM24" s="65">
        <f t="shared" si="94"/>
        <v>36</v>
      </c>
      <c r="BN24" s="13">
        <f t="shared" si="11"/>
        <v>1863640.430873235</v>
      </c>
      <c r="BO24" s="14">
        <v>42984</v>
      </c>
      <c r="BQ24" s="65">
        <f t="shared" si="95"/>
        <v>41</v>
      </c>
      <c r="BR24" s="13">
        <f t="shared" si="12"/>
        <v>4290499.0750682633</v>
      </c>
      <c r="BS24" s="14">
        <v>42991</v>
      </c>
      <c r="BU24" s="65">
        <f t="shared" si="96"/>
        <v>10</v>
      </c>
      <c r="BV24" s="13">
        <f t="shared" si="13"/>
        <v>1611018.2447914127</v>
      </c>
      <c r="BW24" s="14">
        <v>43000</v>
      </c>
      <c r="BY24" s="65">
        <f t="shared" si="97"/>
        <v>10</v>
      </c>
      <c r="BZ24" s="13">
        <f t="shared" si="14"/>
        <v>1611018.2447914127</v>
      </c>
      <c r="CA24" s="14">
        <v>43000</v>
      </c>
      <c r="CC24" s="65">
        <f t="shared" si="98"/>
        <v>18</v>
      </c>
      <c r="CD24" s="13">
        <f t="shared" si="15"/>
        <v>1623103.7365978742</v>
      </c>
      <c r="CE24" s="14">
        <v>43001</v>
      </c>
      <c r="CG24" s="65">
        <f t="shared" si="99"/>
        <v>26</v>
      </c>
      <c r="CH24" s="13">
        <f t="shared" si="16"/>
        <v>973301.81654310413</v>
      </c>
      <c r="CI24" s="14">
        <v>43001</v>
      </c>
      <c r="CK24" s="65">
        <f t="shared" si="100"/>
        <v>50</v>
      </c>
      <c r="CL24" s="13">
        <f t="shared" si="17"/>
        <v>800589.16017283953</v>
      </c>
      <c r="CM24" s="14">
        <v>43005</v>
      </c>
      <c r="CO24" s="65">
        <f t="shared" si="101"/>
        <v>7</v>
      </c>
      <c r="CP24" s="13">
        <f t="shared" si="18"/>
        <v>1835119.4143361717</v>
      </c>
      <c r="CQ24" s="14">
        <v>43007</v>
      </c>
      <c r="CS24" s="65">
        <f t="shared" si="102"/>
        <v>3</v>
      </c>
      <c r="CT24" s="13">
        <f t="shared" si="19"/>
        <v>1596191.0898645218</v>
      </c>
      <c r="CU24" s="14">
        <v>43007</v>
      </c>
      <c r="CW24" s="65">
        <f t="shared" si="103"/>
        <v>32</v>
      </c>
      <c r="CX24" s="13">
        <f>($CY$2/(1+$CY$4*CW24/360))</f>
        <v>2546932.624411623</v>
      </c>
      <c r="CY24" s="14">
        <v>43009</v>
      </c>
      <c r="DA24" s="65">
        <f t="shared" si="104"/>
        <v>12</v>
      </c>
      <c r="DB24" s="13">
        <f t="shared" si="21"/>
        <v>2812026.8372771344</v>
      </c>
      <c r="DC24" s="14">
        <v>43014</v>
      </c>
      <c r="DE24" s="65">
        <f t="shared" si="105"/>
        <v>31</v>
      </c>
      <c r="DF24" s="13">
        <f t="shared" si="22"/>
        <v>3198699.0668326565</v>
      </c>
      <c r="DG24" s="14">
        <v>43015</v>
      </c>
      <c r="DI24" s="65"/>
      <c r="DJ24" s="13"/>
      <c r="DK24" s="14"/>
      <c r="DM24" s="65">
        <f t="shared" si="107"/>
        <v>4</v>
      </c>
      <c r="DN24" s="13">
        <f t="shared" si="24"/>
        <v>785133.12168842019</v>
      </c>
      <c r="DO24" s="14">
        <v>43022</v>
      </c>
      <c r="DQ24" s="65"/>
      <c r="DR24" s="13"/>
      <c r="DS24" s="14"/>
      <c r="DU24" s="65">
        <f t="shared" si="109"/>
        <v>76</v>
      </c>
      <c r="DV24" s="13">
        <f t="shared" si="26"/>
        <v>2329878.4472542289</v>
      </c>
      <c r="DW24" s="14">
        <v>43026</v>
      </c>
      <c r="DY24" s="65">
        <f t="shared" si="110"/>
        <v>87</v>
      </c>
      <c r="DZ24" s="13">
        <f t="shared" si="27"/>
        <v>791862.35712698591</v>
      </c>
      <c r="EA24" s="14">
        <v>43029</v>
      </c>
      <c r="EC24" s="65">
        <f t="shared" si="111"/>
        <v>12</v>
      </c>
      <c r="ED24" s="13">
        <f t="shared" si="28"/>
        <v>1261333.7125303585</v>
      </c>
      <c r="EE24" s="14">
        <v>43030</v>
      </c>
      <c r="EG24" s="65">
        <f t="shared" si="112"/>
        <v>20</v>
      </c>
      <c r="EH24" s="13">
        <f t="shared" si="29"/>
        <v>1592064.7510814914</v>
      </c>
      <c r="EI24" s="14">
        <v>43035</v>
      </c>
      <c r="EK24" s="65">
        <f t="shared" si="113"/>
        <v>1</v>
      </c>
      <c r="EL24" s="13">
        <f t="shared" si="30"/>
        <v>968975.53880206123</v>
      </c>
      <c r="EM24" s="14">
        <v>43040</v>
      </c>
      <c r="EO24" s="65">
        <f t="shared" si="114"/>
        <v>61</v>
      </c>
      <c r="EP24" s="13">
        <f t="shared" si="31"/>
        <v>1279119.753352327</v>
      </c>
      <c r="EQ24" s="14">
        <v>43041</v>
      </c>
      <c r="ES24" s="65">
        <f t="shared" si="115"/>
        <v>18</v>
      </c>
      <c r="ET24" s="13">
        <f t="shared" si="32"/>
        <v>1602814.213496269</v>
      </c>
      <c r="EU24" s="14">
        <v>43041</v>
      </c>
      <c r="EW24" s="65"/>
      <c r="EX24" s="13"/>
      <c r="EY24" s="14"/>
      <c r="FA24" s="65">
        <f t="shared" si="117"/>
        <v>60</v>
      </c>
      <c r="FB24" s="13">
        <f t="shared" si="34"/>
        <v>1258692.7959408001</v>
      </c>
      <c r="FC24" s="14">
        <v>43048</v>
      </c>
      <c r="FE24" s="65">
        <f t="shared" si="118"/>
        <v>55</v>
      </c>
      <c r="FF24" s="13">
        <f t="shared" si="35"/>
        <v>3150982.8642833638</v>
      </c>
      <c r="FG24" s="14">
        <v>43048</v>
      </c>
      <c r="FI24" s="65">
        <f t="shared" si="119"/>
        <v>52</v>
      </c>
      <c r="FJ24" s="13">
        <f t="shared" si="36"/>
        <v>1740052.319365886</v>
      </c>
      <c r="FK24" s="14">
        <v>43050</v>
      </c>
      <c r="FM24" s="65">
        <f t="shared" si="120"/>
        <v>18</v>
      </c>
      <c r="FN24" s="13">
        <f t="shared" si="37"/>
        <v>1140629.4850848974</v>
      </c>
      <c r="FO24" s="14">
        <v>43055</v>
      </c>
      <c r="FQ24" s="65">
        <f t="shared" si="121"/>
        <v>14</v>
      </c>
      <c r="FR24" s="13">
        <f t="shared" si="38"/>
        <v>1409986.8307877705</v>
      </c>
      <c r="FS24" s="14">
        <v>43055</v>
      </c>
      <c r="FU24" s="65">
        <f t="shared" si="122"/>
        <v>27</v>
      </c>
      <c r="FV24" s="13">
        <f t="shared" si="39"/>
        <v>1904031.8775177307</v>
      </c>
      <c r="FW24" s="14">
        <v>43057</v>
      </c>
      <c r="FY24" s="65">
        <f t="shared" si="123"/>
        <v>13</v>
      </c>
      <c r="FZ24" s="13">
        <f t="shared" si="40"/>
        <v>3944997.5104835215</v>
      </c>
      <c r="GA24" s="14">
        <v>43057</v>
      </c>
      <c r="GC24" s="65">
        <f t="shared" si="124"/>
        <v>17</v>
      </c>
      <c r="GD24" s="13">
        <f t="shared" si="41"/>
        <v>867653.11731317209</v>
      </c>
      <c r="GE24" s="14">
        <v>43058</v>
      </c>
      <c r="GG24" s="65">
        <f t="shared" si="125"/>
        <v>13</v>
      </c>
      <c r="GH24" s="13">
        <f t="shared" si="42"/>
        <v>2840324.025508597</v>
      </c>
      <c r="GI24" s="14">
        <v>43062</v>
      </c>
      <c r="GK24" s="65">
        <f t="shared" si="126"/>
        <v>4</v>
      </c>
      <c r="GL24" s="13">
        <f t="shared" si="43"/>
        <v>946841.44360454276</v>
      </c>
      <c r="GM24" s="14">
        <v>43079</v>
      </c>
      <c r="GO24" s="65">
        <f t="shared" si="127"/>
        <v>14</v>
      </c>
      <c r="GP24" s="13">
        <f t="shared" si="44"/>
        <v>1257607.00509331</v>
      </c>
      <c r="GQ24" s="14">
        <v>43082</v>
      </c>
      <c r="GS24" s="65">
        <f t="shared" si="128"/>
        <v>19</v>
      </c>
      <c r="GT24" s="13">
        <f t="shared" si="45"/>
        <v>1548231.0943368995</v>
      </c>
      <c r="GU24" s="14">
        <v>43085</v>
      </c>
      <c r="GW24" s="65">
        <f t="shared" si="129"/>
        <v>19</v>
      </c>
      <c r="GX24" s="13">
        <f t="shared" si="46"/>
        <v>922346.61500094482</v>
      </c>
      <c r="GY24" s="14">
        <v>43086</v>
      </c>
      <c r="HA24" s="65">
        <f t="shared" si="130"/>
        <v>19</v>
      </c>
      <c r="HB24" s="13">
        <f t="shared" si="47"/>
        <v>1537341.5603182933</v>
      </c>
      <c r="HC24" s="14">
        <v>43086</v>
      </c>
      <c r="HE24" s="65">
        <f t="shared" si="131"/>
        <v>14</v>
      </c>
      <c r="HF24" s="13">
        <f t="shared" si="48"/>
        <v>1101656.2657820527</v>
      </c>
      <c r="HG24" s="14">
        <v>43090</v>
      </c>
      <c r="HI24" s="65"/>
      <c r="HJ24" s="13"/>
      <c r="HK24" s="14"/>
      <c r="HM24" s="65"/>
      <c r="HN24" s="13"/>
      <c r="HO24" s="14"/>
      <c r="HQ24" s="65">
        <f t="shared" si="134"/>
        <v>16</v>
      </c>
      <c r="HR24" s="13">
        <f t="shared" si="51"/>
        <v>3044719.1539249262</v>
      </c>
      <c r="HS24" s="14">
        <v>43092</v>
      </c>
      <c r="HU24" s="65"/>
      <c r="HV24" s="13"/>
      <c r="HW24" s="14"/>
      <c r="HY24" s="65"/>
      <c r="HZ24" s="13"/>
      <c r="IA24" s="14"/>
      <c r="IC24" s="65"/>
      <c r="ID24" s="13"/>
      <c r="IE24" s="14"/>
      <c r="IG24" s="65">
        <f t="shared" si="138"/>
        <v>17</v>
      </c>
      <c r="IH24" s="13">
        <f t="shared" si="55"/>
        <v>1284354.1357976203</v>
      </c>
      <c r="II24" s="14">
        <v>43107</v>
      </c>
      <c r="IK24" s="65">
        <f t="shared" si="139"/>
        <v>25</v>
      </c>
      <c r="IL24" s="13">
        <f t="shared" si="56"/>
        <v>2581574.3878815849</v>
      </c>
      <c r="IM24" s="14">
        <v>43111</v>
      </c>
      <c r="IO24" s="65">
        <f t="shared" si="140"/>
        <v>17</v>
      </c>
      <c r="IP24" s="13">
        <f t="shared" si="57"/>
        <v>1134756.0687301324</v>
      </c>
      <c r="IQ24" s="14">
        <v>43112</v>
      </c>
      <c r="IS24" s="65">
        <f t="shared" si="141"/>
        <v>14</v>
      </c>
      <c r="IT24" s="13">
        <f t="shared" si="58"/>
        <v>1489208.5442125446</v>
      </c>
      <c r="IU24" s="14">
        <v>43118</v>
      </c>
      <c r="IW24" s="65">
        <f t="shared" si="142"/>
        <v>18</v>
      </c>
      <c r="IX24" s="13">
        <f t="shared" si="59"/>
        <v>1644794.0957711895</v>
      </c>
      <c r="IY24" s="14">
        <v>43118</v>
      </c>
      <c r="JA24" s="65">
        <f t="shared" si="143"/>
        <v>42</v>
      </c>
      <c r="JB24" s="13">
        <f t="shared" si="60"/>
        <v>986554.04619505093</v>
      </c>
      <c r="JC24" s="14">
        <v>43124</v>
      </c>
      <c r="JE24" s="65">
        <f t="shared" si="144"/>
        <v>25</v>
      </c>
      <c r="JF24" s="13">
        <f t="shared" si="61"/>
        <v>1481707.4520750062</v>
      </c>
      <c r="JG24" s="14">
        <v>43135</v>
      </c>
      <c r="JI24" s="65">
        <f t="shared" si="145"/>
        <v>4</v>
      </c>
      <c r="JJ24" s="13">
        <f t="shared" si="62"/>
        <v>993566.61015939596</v>
      </c>
      <c r="JK24" s="14">
        <v>43140</v>
      </c>
      <c r="JM24" s="65">
        <f t="shared" si="146"/>
        <v>13</v>
      </c>
      <c r="JN24" s="13">
        <f t="shared" si="63"/>
        <v>992936.18460462708</v>
      </c>
      <c r="JO24" s="14">
        <v>43140</v>
      </c>
      <c r="JQ24" s="65">
        <f t="shared" si="147"/>
        <v>19</v>
      </c>
      <c r="JR24" s="13">
        <f t="shared" si="64"/>
        <v>1499872.9345295904</v>
      </c>
      <c r="JS24" s="14">
        <v>43141</v>
      </c>
      <c r="JU24" s="65">
        <f t="shared" si="148"/>
        <v>47</v>
      </c>
      <c r="JV24" s="13">
        <f t="shared" si="65"/>
        <v>1650670.8519355848</v>
      </c>
      <c r="JW24" s="14">
        <v>43146</v>
      </c>
      <c r="JY24" s="65">
        <f t="shared" si="149"/>
        <v>25</v>
      </c>
      <c r="JZ24" s="13">
        <f t="shared" si="66"/>
        <v>1481707.4520750062</v>
      </c>
      <c r="KA24" s="14">
        <v>43135</v>
      </c>
      <c r="KC24" s="65">
        <f t="shared" si="150"/>
        <v>4</v>
      </c>
      <c r="KD24" s="13">
        <f t="shared" si="67"/>
        <v>993566.61015939596</v>
      </c>
      <c r="KE24" s="14">
        <v>43140</v>
      </c>
      <c r="KG24" s="65">
        <f t="shared" si="151"/>
        <v>13</v>
      </c>
      <c r="KH24" s="13">
        <f t="shared" si="68"/>
        <v>992936.18460462708</v>
      </c>
      <c r="KI24" s="14">
        <v>43140</v>
      </c>
      <c r="KK24" s="65">
        <f t="shared" si="152"/>
        <v>19</v>
      </c>
      <c r="KL24" s="13">
        <f t="shared" si="69"/>
        <v>1499872.9345295904</v>
      </c>
      <c r="KM24" s="14">
        <v>43141</v>
      </c>
      <c r="KO24" s="65">
        <f t="shared" si="153"/>
        <v>8</v>
      </c>
      <c r="KP24" s="13">
        <f t="shared" si="70"/>
        <v>3314929.8723918987</v>
      </c>
      <c r="KQ24" s="14">
        <v>43184</v>
      </c>
      <c r="KS24" s="65">
        <f t="shared" si="154"/>
        <v>35</v>
      </c>
      <c r="KT24" s="13">
        <f t="shared" si="71"/>
        <v>3305037.6554349069</v>
      </c>
      <c r="KU24" s="14">
        <v>43187</v>
      </c>
      <c r="KW24" s="65">
        <f t="shared" si="155"/>
        <v>26</v>
      </c>
      <c r="KX24" s="13">
        <f t="shared" si="72"/>
        <v>2986704.58405359</v>
      </c>
      <c r="KY24" s="14">
        <v>43189</v>
      </c>
      <c r="LA24" s="65">
        <f t="shared" si="156"/>
        <v>63</v>
      </c>
      <c r="LB24" s="13">
        <f t="shared" si="73"/>
        <v>2629742.6075175903</v>
      </c>
      <c r="LC24" s="14">
        <v>43201</v>
      </c>
      <c r="LE24" s="65">
        <f t="shared" si="157"/>
        <v>4</v>
      </c>
      <c r="LF24" s="13">
        <f t="shared" si="74"/>
        <v>994997.01921432943</v>
      </c>
      <c r="LG24" s="14">
        <v>43204</v>
      </c>
      <c r="LI24" s="65">
        <f t="shared" si="158"/>
        <v>23</v>
      </c>
      <c r="LJ24" s="13">
        <f t="shared" si="75"/>
        <v>2483204.9026410114</v>
      </c>
      <c r="LK24" s="14">
        <v>43208</v>
      </c>
      <c r="LM24" s="65">
        <f t="shared" si="159"/>
        <v>51</v>
      </c>
      <c r="LN24" s="13">
        <f t="shared" si="76"/>
        <v>743467.48035623156</v>
      </c>
      <c r="LO24" s="14">
        <v>43211</v>
      </c>
      <c r="LQ24" s="65">
        <f t="shared" si="160"/>
        <v>20</v>
      </c>
      <c r="LR24" s="13">
        <f t="shared" si="77"/>
        <v>2774909.6479999139</v>
      </c>
      <c r="LS24" s="14">
        <v>43224</v>
      </c>
      <c r="LU24" s="65"/>
      <c r="LV24" s="13"/>
      <c r="LW24" s="14"/>
      <c r="LY24" s="65">
        <f t="shared" si="162"/>
        <v>23</v>
      </c>
      <c r="LZ24" s="13">
        <f t="shared" si="79"/>
        <v>975468.67621133791</v>
      </c>
      <c r="MA24" s="14">
        <v>43236</v>
      </c>
      <c r="MC24" s="65">
        <f t="shared" si="163"/>
        <v>18</v>
      </c>
      <c r="MD24" s="13">
        <f t="shared" si="80"/>
        <v>2864170.0367815457</v>
      </c>
      <c r="ME24" s="14">
        <v>43238</v>
      </c>
      <c r="MG24" s="65">
        <f t="shared" si="164"/>
        <v>13</v>
      </c>
      <c r="MH24" s="13">
        <f t="shared" si="81"/>
        <v>1772517.4625926511</v>
      </c>
      <c r="MI24" s="14">
        <v>43239</v>
      </c>
      <c r="MK24" s="65">
        <f t="shared" si="165"/>
        <v>7</v>
      </c>
      <c r="ML24" s="13">
        <f t="shared" si="82"/>
        <v>1582740.3559758975</v>
      </c>
      <c r="MM24" s="14">
        <v>43245</v>
      </c>
      <c r="MO24" s="65">
        <f t="shared" si="166"/>
        <v>4</v>
      </c>
      <c r="MP24" s="13">
        <f t="shared" si="83"/>
        <v>1456091.4697759836</v>
      </c>
      <c r="MQ24" s="14">
        <v>43247</v>
      </c>
      <c r="MS24" s="65">
        <f t="shared" si="167"/>
        <v>5</v>
      </c>
      <c r="MT24" s="13">
        <f t="shared" si="84"/>
        <v>1441803.059126006</v>
      </c>
      <c r="MU24" s="14">
        <v>43250</v>
      </c>
    </row>
    <row r="25" spans="1:359" x14ac:dyDescent="0.25">
      <c r="A25" s="15">
        <f t="shared" si="1"/>
        <v>731781.3329020649</v>
      </c>
      <c r="B25" s="20">
        <v>42719</v>
      </c>
      <c r="D25" s="12">
        <v>151</v>
      </c>
      <c r="E25" s="17">
        <v>1140055.6731712951</v>
      </c>
      <c r="F25" s="14">
        <v>42449</v>
      </c>
      <c r="I25" s="12">
        <v>16</v>
      </c>
      <c r="J25" s="17">
        <v>1191862.3926534238</v>
      </c>
      <c r="K25" s="14">
        <v>42491</v>
      </c>
      <c r="N25" s="12">
        <f t="shared" si="85"/>
        <v>81</v>
      </c>
      <c r="O25" s="13">
        <f t="shared" si="2"/>
        <v>731781.3329020649</v>
      </c>
      <c r="P25" s="14">
        <v>42719</v>
      </c>
      <c r="T25" s="15">
        <f t="shared" si="3"/>
        <v>1535024.6032301376</v>
      </c>
      <c r="U25" s="20">
        <v>42968</v>
      </c>
      <c r="W25" s="12">
        <v>151</v>
      </c>
      <c r="X25" s="17">
        <v>1140055.6731712951</v>
      </c>
      <c r="Y25" s="14">
        <v>42449</v>
      </c>
      <c r="AB25" s="12">
        <v>16</v>
      </c>
      <c r="AC25" s="17">
        <v>1191862.3926534238</v>
      </c>
      <c r="AD25" s="14">
        <v>42491</v>
      </c>
      <c r="AG25" s="12">
        <f t="shared" si="86"/>
        <v>16</v>
      </c>
      <c r="AH25" s="13">
        <f t="shared" si="0"/>
        <v>1535024.6032301376</v>
      </c>
      <c r="AI25" s="14">
        <v>42968</v>
      </c>
      <c r="AK25" s="12">
        <f t="shared" si="87"/>
        <v>23</v>
      </c>
      <c r="AL25" s="13">
        <f t="shared" si="4"/>
        <v>1387161.2590645014</v>
      </c>
      <c r="AM25" s="14">
        <v>42975</v>
      </c>
      <c r="AO25" s="12">
        <f t="shared" si="88"/>
        <v>21</v>
      </c>
      <c r="AP25" s="13">
        <f t="shared" si="5"/>
        <v>3652511.3878629729</v>
      </c>
      <c r="AQ25" s="14">
        <v>42978</v>
      </c>
      <c r="AS25" s="12">
        <f t="shared" si="89"/>
        <v>11</v>
      </c>
      <c r="AT25" s="13">
        <f t="shared" si="6"/>
        <v>1234057.3035337536</v>
      </c>
      <c r="AU25" s="14">
        <v>42978</v>
      </c>
      <c r="AW25" s="65">
        <f t="shared" si="90"/>
        <v>13</v>
      </c>
      <c r="AX25" s="13">
        <f t="shared" si="7"/>
        <v>697225.27446714882</v>
      </c>
      <c r="AY25" s="14">
        <v>42980</v>
      </c>
      <c r="BA25" s="65">
        <f t="shared" si="91"/>
        <v>10</v>
      </c>
      <c r="BB25" s="13">
        <f t="shared" si="8"/>
        <v>617982.42874109687</v>
      </c>
      <c r="BC25" s="14">
        <v>42980</v>
      </c>
      <c r="BE25" s="65">
        <f t="shared" si="92"/>
        <v>17</v>
      </c>
      <c r="BF25" s="13">
        <f t="shared" si="9"/>
        <v>1393233.9293429137</v>
      </c>
      <c r="BG25" s="14">
        <v>42981</v>
      </c>
      <c r="BI25" s="65">
        <f t="shared" si="93"/>
        <v>6</v>
      </c>
      <c r="BJ25" s="13">
        <f t="shared" si="10"/>
        <v>2490449.0433331463</v>
      </c>
      <c r="BK25" s="14">
        <v>42985</v>
      </c>
      <c r="BM25" s="65">
        <f t="shared" si="94"/>
        <v>35</v>
      </c>
      <c r="BN25" s="13">
        <f t="shared" si="11"/>
        <v>1863739.4077094197</v>
      </c>
      <c r="BO25" s="14">
        <v>42985</v>
      </c>
      <c r="BQ25" s="65">
        <f t="shared" si="95"/>
        <v>40</v>
      </c>
      <c r="BR25" s="13">
        <f t="shared" si="12"/>
        <v>4290798.4789001504</v>
      </c>
      <c r="BS25" s="14">
        <v>42992</v>
      </c>
      <c r="BU25" s="65">
        <f t="shared" si="96"/>
        <v>9</v>
      </c>
      <c r="BV25" s="13">
        <f t="shared" si="13"/>
        <v>1611092.3296375521</v>
      </c>
      <c r="BW25" s="14">
        <v>43001</v>
      </c>
      <c r="BY25" s="65">
        <f t="shared" si="97"/>
        <v>9</v>
      </c>
      <c r="BZ25" s="13">
        <f t="shared" si="14"/>
        <v>1611092.3296375521</v>
      </c>
      <c r="CA25" s="14">
        <v>43001</v>
      </c>
      <c r="CC25" s="65">
        <f t="shared" si="98"/>
        <v>17</v>
      </c>
      <c r="CD25" s="13">
        <f t="shared" si="15"/>
        <v>1623174.5138137823</v>
      </c>
      <c r="CE25" s="14">
        <v>43002</v>
      </c>
      <c r="CG25" s="65">
        <f t="shared" si="99"/>
        <v>25</v>
      </c>
      <c r="CH25" s="13">
        <f t="shared" si="16"/>
        <v>973344.83111990977</v>
      </c>
      <c r="CI25" s="14">
        <v>43002</v>
      </c>
      <c r="CK25" s="65">
        <f t="shared" si="100"/>
        <v>49</v>
      </c>
      <c r="CL25" s="13">
        <f t="shared" si="17"/>
        <v>800626.85094994016</v>
      </c>
      <c r="CM25" s="14">
        <v>43006</v>
      </c>
      <c r="CO25" s="65">
        <f t="shared" si="101"/>
        <v>6</v>
      </c>
      <c r="CP25" s="13">
        <f t="shared" si="18"/>
        <v>1835191.4626626293</v>
      </c>
      <c r="CQ25" s="14">
        <v>43008</v>
      </c>
      <c r="CS25" s="65">
        <f t="shared" si="102"/>
        <v>2</v>
      </c>
      <c r="CT25" s="13">
        <f t="shared" si="19"/>
        <v>1596251.7339996975</v>
      </c>
      <c r="CU25" s="14">
        <v>43008</v>
      </c>
      <c r="CW25" s="65">
        <f t="shared" si="103"/>
        <v>31</v>
      </c>
      <c r="CX25" s="13">
        <f t="shared" si="20"/>
        <v>2547046.2313943435</v>
      </c>
      <c r="CY25" s="14">
        <v>43010</v>
      </c>
      <c r="DA25" s="65">
        <f t="shared" si="104"/>
        <v>11</v>
      </c>
      <c r="DB25" s="13">
        <f t="shared" si="21"/>
        <v>2812153.7093432746</v>
      </c>
      <c r="DC25" s="14">
        <v>43015</v>
      </c>
      <c r="DE25" s="65">
        <f t="shared" si="105"/>
        <v>30</v>
      </c>
      <c r="DF25" s="13">
        <f t="shared" si="22"/>
        <v>3198856.5420698342</v>
      </c>
      <c r="DG25" s="14">
        <v>43016</v>
      </c>
      <c r="DI25" s="65"/>
      <c r="DJ25" s="13"/>
      <c r="DK25" s="14"/>
      <c r="DM25" s="65">
        <f t="shared" si="107"/>
        <v>3</v>
      </c>
      <c r="DN25" s="13">
        <f>($DO$2/(1+$DO$4*DM25/360))</f>
        <v>785171.55124426051</v>
      </c>
      <c r="DO25" s="14">
        <v>43023</v>
      </c>
      <c r="DQ25" s="65"/>
      <c r="DR25" s="13"/>
      <c r="DS25" s="14"/>
      <c r="DU25" s="65">
        <f t="shared" si="109"/>
        <v>75</v>
      </c>
      <c r="DV25" s="13">
        <f t="shared" si="26"/>
        <v>2329993.2293833415</v>
      </c>
      <c r="DW25" s="14">
        <v>43027</v>
      </c>
      <c r="DY25" s="65">
        <f t="shared" si="110"/>
        <v>86</v>
      </c>
      <c r="DZ25" s="13">
        <f t="shared" si="27"/>
        <v>791903.77123573818</v>
      </c>
      <c r="EA25" s="14">
        <v>43030</v>
      </c>
      <c r="EC25" s="65">
        <f t="shared" si="111"/>
        <v>11</v>
      </c>
      <c r="ED25" s="13">
        <f t="shared" si="28"/>
        <v>1261394.915006262</v>
      </c>
      <c r="EE25" s="14">
        <v>43031</v>
      </c>
      <c r="EG25" s="65">
        <f t="shared" si="112"/>
        <v>19</v>
      </c>
      <c r="EH25" s="13">
        <f t="shared" si="29"/>
        <v>1592150.3205130801</v>
      </c>
      <c r="EI25" s="14">
        <v>43036</v>
      </c>
      <c r="EK25" s="65">
        <f t="shared" si="113"/>
        <v>0</v>
      </c>
      <c r="EL25" s="13">
        <f>($EM$2/(1+$EM$4*EK25/360))*0</f>
        <v>0</v>
      </c>
      <c r="EM25" s="14">
        <v>43041</v>
      </c>
      <c r="EO25" s="65">
        <f t="shared" si="114"/>
        <v>60</v>
      </c>
      <c r="EP25" s="13">
        <f t="shared" si="31"/>
        <v>1279194.5277975351</v>
      </c>
      <c r="EQ25" s="14">
        <v>43042</v>
      </c>
      <c r="ES25" s="65">
        <f t="shared" si="115"/>
        <v>17</v>
      </c>
      <c r="ET25" s="13">
        <f t="shared" si="32"/>
        <v>1602907.363779942</v>
      </c>
      <c r="EU25" s="14">
        <v>43042</v>
      </c>
      <c r="EW25" s="65"/>
      <c r="EX25" s="13"/>
      <c r="EY25" s="14"/>
      <c r="FA25" s="65">
        <f t="shared" si="117"/>
        <v>59</v>
      </c>
      <c r="FB25" s="13">
        <f t="shared" si="34"/>
        <v>1258767.7258151106</v>
      </c>
      <c r="FC25" s="14">
        <v>43049</v>
      </c>
      <c r="FE25" s="65">
        <f t="shared" si="118"/>
        <v>54</v>
      </c>
      <c r="FF25" s="13">
        <f t="shared" si="35"/>
        <v>3151159.1163658439</v>
      </c>
      <c r="FG25" s="14">
        <v>43049</v>
      </c>
      <c r="FI25" s="65">
        <f t="shared" si="119"/>
        <v>51</v>
      </c>
      <c r="FJ25" s="13">
        <f t="shared" si="36"/>
        <v>1740158.4517603614</v>
      </c>
      <c r="FK25" s="14">
        <v>43051</v>
      </c>
      <c r="FM25" s="65">
        <f t="shared" si="120"/>
        <v>17</v>
      </c>
      <c r="FN25" s="13">
        <f t="shared" si="37"/>
        <v>1140697.2262263594</v>
      </c>
      <c r="FO25" s="14">
        <v>43056</v>
      </c>
      <c r="FQ25" s="65">
        <f t="shared" si="121"/>
        <v>13</v>
      </c>
      <c r="FR25" s="13">
        <f t="shared" si="38"/>
        <v>1410069.4875039966</v>
      </c>
      <c r="FS25" s="14">
        <v>43056</v>
      </c>
      <c r="FU25" s="65">
        <f t="shared" si="122"/>
        <v>26</v>
      </c>
      <c r="FV25" s="13">
        <f t="shared" si="39"/>
        <v>1904144.640778224</v>
      </c>
      <c r="FW25" s="14">
        <v>43058</v>
      </c>
      <c r="FY25" s="65">
        <f t="shared" si="123"/>
        <v>12</v>
      </c>
      <c r="FZ25" s="13">
        <f t="shared" si="40"/>
        <v>3945219.6961679948</v>
      </c>
      <c r="GA25" s="14">
        <v>43058</v>
      </c>
      <c r="GC25" s="65">
        <f t="shared" si="124"/>
        <v>16</v>
      </c>
      <c r="GD25" s="13">
        <f t="shared" si="41"/>
        <v>867701.741550404</v>
      </c>
      <c r="GE25" s="14">
        <v>43059</v>
      </c>
      <c r="GG25" s="65">
        <f t="shared" si="125"/>
        <v>12</v>
      </c>
      <c r="GH25" s="13">
        <f t="shared" si="42"/>
        <v>2840479.3538738741</v>
      </c>
      <c r="GI25" s="14">
        <v>43063</v>
      </c>
      <c r="GK25" s="65">
        <f t="shared" si="126"/>
        <v>3</v>
      </c>
      <c r="GL25" s="13">
        <f t="shared" si="43"/>
        <v>946910.86337139155</v>
      </c>
      <c r="GM25" s="14">
        <v>43080</v>
      </c>
      <c r="GO25" s="65">
        <f t="shared" si="127"/>
        <v>13</v>
      </c>
      <c r="GP25" s="13">
        <f t="shared" si="44"/>
        <v>1257709.9246484551</v>
      </c>
      <c r="GQ25" s="14">
        <v>43083</v>
      </c>
      <c r="GS25" s="65">
        <f t="shared" si="128"/>
        <v>18</v>
      </c>
      <c r="GT25" s="13">
        <f t="shared" si="45"/>
        <v>1548355.8007612755</v>
      </c>
      <c r="GU25" s="14">
        <v>43086</v>
      </c>
      <c r="GW25" s="65">
        <f t="shared" si="129"/>
        <v>18</v>
      </c>
      <c r="GX25" s="13">
        <f t="shared" si="46"/>
        <v>922417.86250162544</v>
      </c>
      <c r="GY25" s="14">
        <v>43087</v>
      </c>
      <c r="HA25" s="65">
        <f t="shared" si="130"/>
        <v>18</v>
      </c>
      <c r="HB25" s="13">
        <f t="shared" si="47"/>
        <v>1537455.2035963896</v>
      </c>
      <c r="HC25" s="14">
        <v>43087</v>
      </c>
      <c r="HE25" s="65">
        <f t="shared" si="131"/>
        <v>13</v>
      </c>
      <c r="HF25" s="13">
        <f t="shared" si="48"/>
        <v>1101739.5167062487</v>
      </c>
      <c r="HG25" s="14">
        <v>43091</v>
      </c>
      <c r="HI25" s="65"/>
      <c r="HJ25" s="13"/>
      <c r="HK25" s="14"/>
      <c r="HM25" s="65"/>
      <c r="HN25" s="13"/>
      <c r="HO25" s="14"/>
      <c r="HQ25" s="65">
        <f t="shared" si="134"/>
        <v>15</v>
      </c>
      <c r="HR25" s="13">
        <f t="shared" si="51"/>
        <v>3044992.952723112</v>
      </c>
      <c r="HS25" s="14">
        <v>43093</v>
      </c>
      <c r="HU25" s="65"/>
      <c r="HV25" s="13"/>
      <c r="HW25" s="14"/>
      <c r="HY25" s="65"/>
      <c r="HZ25" s="13"/>
      <c r="IA25" s="14"/>
      <c r="IC25" s="65"/>
      <c r="ID25" s="13"/>
      <c r="IE25" s="14"/>
      <c r="IG25" s="65">
        <f t="shared" si="138"/>
        <v>16</v>
      </c>
      <c r="IH25" s="13">
        <f t="shared" si="55"/>
        <v>1284461.0227929428</v>
      </c>
      <c r="II25" s="14">
        <v>43108</v>
      </c>
      <c r="IK25" s="65">
        <f t="shared" si="139"/>
        <v>24</v>
      </c>
      <c r="IL25" s="13">
        <f t="shared" si="56"/>
        <v>2581792.1420483291</v>
      </c>
      <c r="IM25" s="14">
        <v>43112</v>
      </c>
      <c r="IO25" s="65">
        <f t="shared" si="140"/>
        <v>16</v>
      </c>
      <c r="IP25" s="13">
        <f t="shared" si="57"/>
        <v>1134850.5058197405</v>
      </c>
      <c r="IQ25" s="14">
        <v>43113</v>
      </c>
      <c r="IS25" s="65">
        <f t="shared" si="141"/>
        <v>13</v>
      </c>
      <c r="IT25" s="13">
        <f t="shared" si="58"/>
        <v>1489302.2239246101</v>
      </c>
      <c r="IU25" s="14">
        <v>43119</v>
      </c>
      <c r="IW25" s="65">
        <f t="shared" si="142"/>
        <v>17</v>
      </c>
      <c r="IX25" s="13">
        <f t="shared" si="59"/>
        <v>1644896.1292461262</v>
      </c>
      <c r="IY25" s="14">
        <v>43119</v>
      </c>
      <c r="JA25" s="65">
        <f t="shared" si="143"/>
        <v>41</v>
      </c>
      <c r="JB25" s="13">
        <f t="shared" si="60"/>
        <v>986606.48016494408</v>
      </c>
      <c r="JC25" s="14">
        <v>43125</v>
      </c>
      <c r="JE25" s="65">
        <f t="shared" si="144"/>
        <v>24</v>
      </c>
      <c r="JF25" s="13">
        <f t="shared" si="61"/>
        <v>1481783.3069138722</v>
      </c>
      <c r="JG25" s="14">
        <v>43136</v>
      </c>
      <c r="JI25" s="65">
        <f t="shared" si="145"/>
        <v>3</v>
      </c>
      <c r="JJ25" s="13">
        <f t="shared" si="62"/>
        <v>993618.03913468611</v>
      </c>
      <c r="JK25" s="14">
        <v>43141</v>
      </c>
      <c r="JM25" s="65">
        <f t="shared" si="146"/>
        <v>12</v>
      </c>
      <c r="JN25" s="13">
        <f t="shared" si="63"/>
        <v>992989.07837419969</v>
      </c>
      <c r="JO25" s="14">
        <v>43141</v>
      </c>
      <c r="JQ25" s="65">
        <f t="shared" si="147"/>
        <v>18</v>
      </c>
      <c r="JR25" s="13">
        <f t="shared" si="64"/>
        <v>1499959.8760272779</v>
      </c>
      <c r="JS25" s="14">
        <v>43142</v>
      </c>
      <c r="JU25" s="65">
        <f t="shared" si="148"/>
        <v>46</v>
      </c>
      <c r="JV25" s="13">
        <f t="shared" si="65"/>
        <v>1650773.1390714408</v>
      </c>
      <c r="JW25" s="14">
        <v>43147</v>
      </c>
      <c r="JY25" s="65">
        <f t="shared" si="149"/>
        <v>24</v>
      </c>
      <c r="JZ25" s="13">
        <f t="shared" si="66"/>
        <v>1481783.3069138722</v>
      </c>
      <c r="KA25" s="14">
        <v>43136</v>
      </c>
      <c r="KC25" s="65">
        <f t="shared" si="150"/>
        <v>3</v>
      </c>
      <c r="KD25" s="13">
        <f t="shared" si="67"/>
        <v>993618.03913468611</v>
      </c>
      <c r="KE25" s="14">
        <v>43141</v>
      </c>
      <c r="KG25" s="65">
        <f t="shared" si="151"/>
        <v>12</v>
      </c>
      <c r="KH25" s="13">
        <f t="shared" si="68"/>
        <v>992989.07837419969</v>
      </c>
      <c r="KI25" s="14">
        <v>43141</v>
      </c>
      <c r="KK25" s="65">
        <f t="shared" si="152"/>
        <v>18</v>
      </c>
      <c r="KL25" s="13">
        <f t="shared" si="69"/>
        <v>1499959.8760272779</v>
      </c>
      <c r="KM25" s="14">
        <v>43142</v>
      </c>
      <c r="KO25" s="65">
        <f t="shared" si="153"/>
        <v>7</v>
      </c>
      <c r="KP25" s="13">
        <f t="shared" si="70"/>
        <v>3315164.0960468366</v>
      </c>
      <c r="KQ25" s="14">
        <v>43185</v>
      </c>
      <c r="KS25" s="65">
        <f t="shared" si="154"/>
        <v>34</v>
      </c>
      <c r="KT25" s="13">
        <f t="shared" si="71"/>
        <v>3305249.3973880494</v>
      </c>
      <c r="KU25" s="14">
        <v>43188</v>
      </c>
      <c r="KW25" s="65">
        <f t="shared" si="155"/>
        <v>25</v>
      </c>
      <c r="KX25" s="13">
        <f t="shared" si="72"/>
        <v>2986889.6596911033</v>
      </c>
      <c r="KY25" s="14">
        <v>43190</v>
      </c>
      <c r="LA25" s="65">
        <f t="shared" si="156"/>
        <v>62</v>
      </c>
      <c r="LB25" s="13">
        <f t="shared" si="73"/>
        <v>2629943.2673145975</v>
      </c>
      <c r="LC25" s="14">
        <v>43202</v>
      </c>
      <c r="LE25" s="65">
        <f t="shared" si="157"/>
        <v>3</v>
      </c>
      <c r="LF25" s="13">
        <f t="shared" si="74"/>
        <v>995086.4919821386</v>
      </c>
      <c r="LG25" s="14">
        <v>43205</v>
      </c>
      <c r="LI25" s="65">
        <f t="shared" si="158"/>
        <v>22</v>
      </c>
      <c r="LJ25" s="13">
        <f t="shared" si="75"/>
        <v>2483376.1564743468</v>
      </c>
      <c r="LK25" s="14">
        <v>43209</v>
      </c>
      <c r="LM25" s="65">
        <f t="shared" si="159"/>
        <v>50</v>
      </c>
      <c r="LN25" s="13">
        <f t="shared" si="76"/>
        <v>743520.51711983909</v>
      </c>
      <c r="LO25" s="14">
        <v>43212</v>
      </c>
      <c r="LQ25" s="65">
        <f t="shared" si="160"/>
        <v>19</v>
      </c>
      <c r="LR25" s="13">
        <f t="shared" si="77"/>
        <v>2775087.9186096443</v>
      </c>
      <c r="LS25" s="14">
        <v>43225</v>
      </c>
      <c r="LU25" s="65"/>
      <c r="LV25" s="13"/>
      <c r="LW25" s="14"/>
      <c r="LY25" s="65">
        <f t="shared" si="162"/>
        <v>22</v>
      </c>
      <c r="LZ25" s="13">
        <f t="shared" si="79"/>
        <v>975534.8020909609</v>
      </c>
      <c r="MA25" s="14">
        <v>43237</v>
      </c>
      <c r="MC25" s="65">
        <f t="shared" si="163"/>
        <v>17</v>
      </c>
      <c r="MD25" s="13">
        <f t="shared" si="80"/>
        <v>2864352.6004401767</v>
      </c>
      <c r="ME25" s="14">
        <v>43239</v>
      </c>
      <c r="MG25" s="65">
        <f t="shared" si="164"/>
        <v>12</v>
      </c>
      <c r="MH25" s="13">
        <f t="shared" si="81"/>
        <v>1772637.4901428912</v>
      </c>
      <c r="MI25" s="14">
        <v>43240</v>
      </c>
      <c r="MK25" s="65">
        <f t="shared" si="165"/>
        <v>6</v>
      </c>
      <c r="ML25" s="13">
        <f t="shared" si="82"/>
        <v>1582842.5584183438</v>
      </c>
      <c r="MM25" s="14">
        <v>43246</v>
      </c>
      <c r="MO25" s="65">
        <f t="shared" si="166"/>
        <v>3</v>
      </c>
      <c r="MP25" s="13">
        <f t="shared" si="83"/>
        <v>1456205.1686157722</v>
      </c>
      <c r="MQ25" s="14">
        <v>43248</v>
      </c>
      <c r="MS25" s="65">
        <f t="shared" si="167"/>
        <v>4</v>
      </c>
      <c r="MT25" s="13">
        <f t="shared" si="84"/>
        <v>1441903.9570887152</v>
      </c>
      <c r="MU25" s="14">
        <v>43251</v>
      </c>
    </row>
    <row r="26" spans="1:359" x14ac:dyDescent="0.25">
      <c r="A26" s="15">
        <f t="shared" si="1"/>
        <v>731810.61120187445</v>
      </c>
      <c r="B26" s="20">
        <v>42720</v>
      </c>
      <c r="D26" s="12">
        <v>150</v>
      </c>
      <c r="E26" s="17">
        <v>1140082.7885823799</v>
      </c>
      <c r="F26" s="14">
        <v>42450</v>
      </c>
      <c r="I26" s="12">
        <v>15</v>
      </c>
      <c r="J26" s="17">
        <v>1191876.6455346937</v>
      </c>
      <c r="K26" s="14">
        <v>42492</v>
      </c>
      <c r="N26" s="12">
        <f t="shared" si="85"/>
        <v>80</v>
      </c>
      <c r="O26" s="13">
        <f t="shared" si="2"/>
        <v>731810.61120187445</v>
      </c>
      <c r="P26" s="14">
        <v>42720</v>
      </c>
      <c r="T26" s="15">
        <f t="shared" si="3"/>
        <v>1535103.4427095049</v>
      </c>
      <c r="U26" s="20">
        <v>42969</v>
      </c>
      <c r="W26" s="12">
        <v>150</v>
      </c>
      <c r="X26" s="17">
        <v>1140082.7885823799</v>
      </c>
      <c r="Y26" s="14">
        <v>42450</v>
      </c>
      <c r="AB26" s="12">
        <v>15</v>
      </c>
      <c r="AC26" s="17">
        <v>1191876.6455346937</v>
      </c>
      <c r="AD26" s="14">
        <v>42492</v>
      </c>
      <c r="AG26" s="12">
        <f t="shared" si="86"/>
        <v>15</v>
      </c>
      <c r="AH26" s="13">
        <f t="shared" si="0"/>
        <v>1535103.4427095049</v>
      </c>
      <c r="AI26" s="14">
        <v>42969</v>
      </c>
      <c r="AK26" s="12">
        <f t="shared" si="87"/>
        <v>22</v>
      </c>
      <c r="AL26" s="13">
        <f t="shared" si="4"/>
        <v>1387230.7062417739</v>
      </c>
      <c r="AM26" s="14">
        <v>42976</v>
      </c>
      <c r="AO26" s="12">
        <f t="shared" si="88"/>
        <v>20</v>
      </c>
      <c r="AP26" s="13">
        <f t="shared" si="5"/>
        <v>3652710.5306311576</v>
      </c>
      <c r="AQ26" s="14">
        <v>42979</v>
      </c>
      <c r="AS26" s="12">
        <f t="shared" si="89"/>
        <v>10</v>
      </c>
      <c r="AT26" s="13">
        <f t="shared" si="6"/>
        <v>1234131.3954916366</v>
      </c>
      <c r="AU26" s="14">
        <v>42979</v>
      </c>
      <c r="AW26" s="65">
        <f t="shared" si="90"/>
        <v>12</v>
      </c>
      <c r="AX26" s="13">
        <f t="shared" si="7"/>
        <v>697262.29655187903</v>
      </c>
      <c r="AY26" s="14">
        <v>42981</v>
      </c>
      <c r="BA26" s="65">
        <f t="shared" si="91"/>
        <v>9</v>
      </c>
      <c r="BB26" s="13">
        <f t="shared" si="8"/>
        <v>618019.4367515709</v>
      </c>
      <c r="BC26" s="14">
        <v>42981</v>
      </c>
      <c r="BE26" s="65">
        <f t="shared" si="92"/>
        <v>16</v>
      </c>
      <c r="BF26" s="13">
        <f t="shared" si="9"/>
        <v>1393313.7474114986</v>
      </c>
      <c r="BG26" s="14">
        <v>42982</v>
      </c>
      <c r="BI26" s="65">
        <f t="shared" si="93"/>
        <v>5</v>
      </c>
      <c r="BJ26" s="13">
        <f t="shared" si="10"/>
        <v>2490581.1230243952</v>
      </c>
      <c r="BK26" s="14">
        <v>42986</v>
      </c>
      <c r="BM26" s="65">
        <f t="shared" si="94"/>
        <v>34</v>
      </c>
      <c r="BN26" s="13">
        <f t="shared" si="11"/>
        <v>1863838.3950593651</v>
      </c>
      <c r="BO26" s="14">
        <v>42986</v>
      </c>
      <c r="BQ26" s="65">
        <f t="shared" si="95"/>
        <v>39</v>
      </c>
      <c r="BR26" s="13">
        <f t="shared" si="12"/>
        <v>4291097.9245215394</v>
      </c>
      <c r="BS26" s="14">
        <v>42993</v>
      </c>
      <c r="BU26" s="65">
        <f t="shared" si="96"/>
        <v>8</v>
      </c>
      <c r="BV26" s="13">
        <f t="shared" si="13"/>
        <v>1611166.4212977879</v>
      </c>
      <c r="BW26" s="14">
        <v>43002</v>
      </c>
      <c r="BY26" s="65">
        <f t="shared" si="97"/>
        <v>8</v>
      </c>
      <c r="BZ26" s="13">
        <f t="shared" si="14"/>
        <v>1611166.4212977879</v>
      </c>
      <c r="CA26" s="14">
        <v>43002</v>
      </c>
      <c r="CC26" s="65">
        <f t="shared" si="98"/>
        <v>16</v>
      </c>
      <c r="CD26" s="13">
        <f t="shared" si="15"/>
        <v>1623245.2972025953</v>
      </c>
      <c r="CE26" s="14">
        <v>43003</v>
      </c>
      <c r="CG26" s="65">
        <f t="shared" si="99"/>
        <v>24</v>
      </c>
      <c r="CH26" s="13">
        <f t="shared" si="16"/>
        <v>973387.84949889767</v>
      </c>
      <c r="CI26" s="14">
        <v>43003</v>
      </c>
      <c r="CK26" s="65">
        <f t="shared" si="100"/>
        <v>48</v>
      </c>
      <c r="CL26" s="13">
        <f t="shared" si="17"/>
        <v>800664.54527608131</v>
      </c>
      <c r="CM26" s="14">
        <v>43007</v>
      </c>
      <c r="CO26" s="65">
        <f t="shared" si="101"/>
        <v>5</v>
      </c>
      <c r="CP26" s="13">
        <f t="shared" si="18"/>
        <v>1835263.5166466646</v>
      </c>
      <c r="CQ26" s="14">
        <v>43009</v>
      </c>
      <c r="CS26" s="65">
        <f t="shared" si="102"/>
        <v>1</v>
      </c>
      <c r="CT26" s="13">
        <f t="shared" si="19"/>
        <v>1596312.3827431567</v>
      </c>
      <c r="CU26" s="14">
        <v>43009</v>
      </c>
      <c r="CW26" s="65">
        <f t="shared" si="103"/>
        <v>30</v>
      </c>
      <c r="CX26" s="13">
        <f t="shared" si="20"/>
        <v>2547159.8485124884</v>
      </c>
      <c r="CY26" s="14">
        <v>43011</v>
      </c>
      <c r="DA26" s="65">
        <f t="shared" si="104"/>
        <v>10</v>
      </c>
      <c r="DB26" s="13">
        <f t="shared" si="21"/>
        <v>2812280.5928582717</v>
      </c>
      <c r="DC26" s="14">
        <v>43016</v>
      </c>
      <c r="DE26" s="65">
        <f t="shared" si="105"/>
        <v>29</v>
      </c>
      <c r="DF26" s="13">
        <f t="shared" si="22"/>
        <v>3199014.0328131104</v>
      </c>
      <c r="DG26" s="14">
        <v>43017</v>
      </c>
      <c r="DI26" s="65"/>
      <c r="DJ26" s="13"/>
      <c r="DK26" s="14"/>
      <c r="DM26" s="65">
        <f t="shared" si="107"/>
        <v>2</v>
      </c>
      <c r="DN26" s="13">
        <f t="shared" si="24"/>
        <v>785209.98456227302</v>
      </c>
      <c r="DO26" s="14">
        <v>43024</v>
      </c>
      <c r="DQ26" s="65"/>
      <c r="DR26" s="13"/>
      <c r="DS26" s="14"/>
      <c r="DU26" s="65">
        <f t="shared" si="109"/>
        <v>74</v>
      </c>
      <c r="DV26" s="13">
        <f t="shared" si="26"/>
        <v>2330108.0228225593</v>
      </c>
      <c r="DW26" s="14">
        <v>43028</v>
      </c>
      <c r="DY26" s="65">
        <f t="shared" si="110"/>
        <v>85</v>
      </c>
      <c r="DZ26" s="13">
        <f t="shared" si="27"/>
        <v>791945.18967660237</v>
      </c>
      <c r="EA26" s="14">
        <v>43031</v>
      </c>
      <c r="EC26" s="65">
        <f t="shared" si="111"/>
        <v>10</v>
      </c>
      <c r="ED26" s="13">
        <f t="shared" si="28"/>
        <v>1261456.1234217912</v>
      </c>
      <c r="EE26" s="14">
        <v>43032</v>
      </c>
      <c r="EG26" s="65">
        <f t="shared" si="112"/>
        <v>18</v>
      </c>
      <c r="EH26" s="13">
        <f t="shared" si="29"/>
        <v>1592235.8991434418</v>
      </c>
      <c r="EI26" s="14">
        <v>43037</v>
      </c>
      <c r="EK26" s="65"/>
      <c r="EL26" s="13"/>
      <c r="EM26" s="14"/>
      <c r="EO26" s="65">
        <f t="shared" si="114"/>
        <v>59</v>
      </c>
      <c r="EP26" s="13">
        <f t="shared" si="31"/>
        <v>1279269.3109855435</v>
      </c>
      <c r="EQ26" s="14">
        <v>43043</v>
      </c>
      <c r="ES26" s="65">
        <f t="shared" si="115"/>
        <v>16</v>
      </c>
      <c r="ET26" s="13">
        <f t="shared" si="32"/>
        <v>1603000.5248914196</v>
      </c>
      <c r="EU26" s="14">
        <v>43043</v>
      </c>
      <c r="EW26" s="65"/>
      <c r="EX26" s="13"/>
      <c r="EY26" s="14"/>
      <c r="FA26" s="65">
        <f t="shared" si="117"/>
        <v>58</v>
      </c>
      <c r="FB26" s="13">
        <f t="shared" si="34"/>
        <v>1258842.66461109</v>
      </c>
      <c r="FC26" s="14">
        <v>43050</v>
      </c>
      <c r="FE26" s="65">
        <f t="shared" si="118"/>
        <v>53</v>
      </c>
      <c r="FF26" s="13">
        <f t="shared" si="35"/>
        <v>3151335.3881669543</v>
      </c>
      <c r="FG26" s="14">
        <v>43050</v>
      </c>
      <c r="FI26" s="65">
        <f t="shared" si="119"/>
        <v>50</v>
      </c>
      <c r="FJ26" s="13">
        <f t="shared" si="36"/>
        <v>1740264.5971024618</v>
      </c>
      <c r="FK26" s="14">
        <v>43052</v>
      </c>
      <c r="FM26" s="65">
        <f t="shared" si="120"/>
        <v>16</v>
      </c>
      <c r="FN26" s="13">
        <f t="shared" si="37"/>
        <v>1140764.9754144922</v>
      </c>
      <c r="FO26" s="14">
        <v>43057</v>
      </c>
      <c r="FQ26" s="65">
        <f t="shared" si="121"/>
        <v>12</v>
      </c>
      <c r="FR26" s="13">
        <f t="shared" si="38"/>
        <v>1410152.1539118497</v>
      </c>
      <c r="FS26" s="14">
        <v>43057</v>
      </c>
      <c r="FU26" s="65">
        <f t="shared" si="122"/>
        <v>25</v>
      </c>
      <c r="FV26" s="13">
        <f t="shared" si="39"/>
        <v>1904257.4173959582</v>
      </c>
      <c r="FW26" s="14">
        <v>43059</v>
      </c>
      <c r="FY26" s="65">
        <f t="shared" si="123"/>
        <v>11</v>
      </c>
      <c r="FZ26" s="13">
        <f t="shared" si="40"/>
        <v>3945441.9068812593</v>
      </c>
      <c r="GA26" s="14">
        <v>43059</v>
      </c>
      <c r="GC26" s="65">
        <f t="shared" si="124"/>
        <v>15</v>
      </c>
      <c r="GD26" s="13">
        <f t="shared" si="41"/>
        <v>867750.37123785308</v>
      </c>
      <c r="GE26" s="14">
        <v>43060</v>
      </c>
      <c r="GG26" s="65">
        <f t="shared" si="125"/>
        <v>11</v>
      </c>
      <c r="GH26" s="13">
        <f t="shared" si="42"/>
        <v>2840634.6992289172</v>
      </c>
      <c r="GI26" s="14">
        <v>43064</v>
      </c>
      <c r="GK26" s="65">
        <f t="shared" si="126"/>
        <v>2</v>
      </c>
      <c r="GL26" s="13">
        <f t="shared" si="43"/>
        <v>946980.29331831331</v>
      </c>
      <c r="GM26" s="14">
        <v>43081</v>
      </c>
      <c r="GO26" s="65">
        <f t="shared" si="127"/>
        <v>12</v>
      </c>
      <c r="GP26" s="13">
        <f t="shared" si="44"/>
        <v>1257812.8610503599</v>
      </c>
      <c r="GQ26" s="14">
        <v>43084</v>
      </c>
      <c r="GS26" s="65">
        <f t="shared" si="128"/>
        <v>17</v>
      </c>
      <c r="GT26" s="13">
        <f t="shared" si="45"/>
        <v>1548480.5272768964</v>
      </c>
      <c r="GU26" s="14">
        <v>43087</v>
      </c>
      <c r="GW26" s="65">
        <f t="shared" si="129"/>
        <v>17</v>
      </c>
      <c r="GX26" s="13">
        <f t="shared" si="46"/>
        <v>922489.12101031188</v>
      </c>
      <c r="GY26" s="14">
        <v>43088</v>
      </c>
      <c r="HA26" s="65">
        <f t="shared" si="130"/>
        <v>17</v>
      </c>
      <c r="HB26" s="13">
        <f t="shared" si="47"/>
        <v>1537568.863677192</v>
      </c>
      <c r="HC26" s="14">
        <v>43088</v>
      </c>
      <c r="HE26" s="65">
        <f t="shared" si="131"/>
        <v>12</v>
      </c>
      <c r="HF26" s="13">
        <f t="shared" si="48"/>
        <v>1101822.7802137532</v>
      </c>
      <c r="HG26" s="14">
        <v>43092</v>
      </c>
      <c r="HI26" s="65"/>
      <c r="HJ26" s="13"/>
      <c r="HK26" s="14"/>
      <c r="HM26" s="65"/>
      <c r="HN26" s="13"/>
      <c r="HO26" s="14"/>
      <c r="HQ26" s="65">
        <f t="shared" si="134"/>
        <v>14</v>
      </c>
      <c r="HR26" s="13">
        <f t="shared" si="51"/>
        <v>3045266.8007688764</v>
      </c>
      <c r="HS26" s="14">
        <v>43094</v>
      </c>
      <c r="HU26" s="65"/>
      <c r="HV26" s="13"/>
      <c r="HW26" s="14"/>
      <c r="HY26" s="65"/>
      <c r="HZ26" s="13"/>
      <c r="IA26" s="14"/>
      <c r="IC26" s="65"/>
      <c r="ID26" s="13"/>
      <c r="IE26" s="14"/>
      <c r="IG26" s="65">
        <f t="shared" si="138"/>
        <v>15</v>
      </c>
      <c r="IH26" s="13">
        <f t="shared" si="55"/>
        <v>1284567.9275805245</v>
      </c>
      <c r="II26" s="14">
        <v>43109</v>
      </c>
      <c r="IK26" s="65">
        <f t="shared" si="139"/>
        <v>23</v>
      </c>
      <c r="IL26" s="13">
        <f t="shared" si="56"/>
        <v>2582009.9329530243</v>
      </c>
      <c r="IM26" s="14">
        <v>43113</v>
      </c>
      <c r="IO26" s="65">
        <f t="shared" si="140"/>
        <v>15</v>
      </c>
      <c r="IP26" s="13">
        <f t="shared" si="57"/>
        <v>1134944.9586292135</v>
      </c>
      <c r="IQ26" s="14">
        <v>43114</v>
      </c>
      <c r="IS26" s="65">
        <f t="shared" si="141"/>
        <v>12</v>
      </c>
      <c r="IT26" s="13">
        <f t="shared" si="58"/>
        <v>1489395.9154233937</v>
      </c>
      <c r="IU26" s="14">
        <v>43120</v>
      </c>
      <c r="IW26" s="65">
        <f t="shared" si="142"/>
        <v>16</v>
      </c>
      <c r="IX26" s="13">
        <f t="shared" si="59"/>
        <v>1644998.1753809766</v>
      </c>
      <c r="IY26" s="14">
        <v>43120</v>
      </c>
      <c r="JA26" s="65">
        <f t="shared" si="143"/>
        <v>40</v>
      </c>
      <c r="JB26" s="13">
        <f t="shared" si="60"/>
        <v>986658.91970871785</v>
      </c>
      <c r="JC26" s="14">
        <v>43126</v>
      </c>
      <c r="JE26" s="65">
        <f t="shared" si="144"/>
        <v>23</v>
      </c>
      <c r="JF26" s="13">
        <f t="shared" si="61"/>
        <v>1481859.1695197923</v>
      </c>
      <c r="JG26" s="14">
        <v>43137</v>
      </c>
      <c r="JI26" s="65">
        <f t="shared" si="145"/>
        <v>2</v>
      </c>
      <c r="JJ26" s="13">
        <f t="shared" si="62"/>
        <v>993669.47343438305</v>
      </c>
      <c r="JK26" s="14">
        <v>43142</v>
      </c>
      <c r="JM26" s="65">
        <f t="shared" si="146"/>
        <v>11</v>
      </c>
      <c r="JN26" s="13">
        <f t="shared" si="63"/>
        <v>993041.97777938133</v>
      </c>
      <c r="JO26" s="14">
        <v>43142</v>
      </c>
      <c r="JQ26" s="65">
        <f t="shared" si="147"/>
        <v>17</v>
      </c>
      <c r="JR26" s="13">
        <f t="shared" si="64"/>
        <v>1500046.8276048352</v>
      </c>
      <c r="JS26" s="14">
        <v>43143</v>
      </c>
      <c r="JU26" s="65">
        <f t="shared" si="148"/>
        <v>45</v>
      </c>
      <c r="JV26" s="13">
        <f t="shared" si="65"/>
        <v>1650875.4388849381</v>
      </c>
      <c r="JW26" s="14">
        <v>43148</v>
      </c>
      <c r="JY26" s="65">
        <f t="shared" si="149"/>
        <v>23</v>
      </c>
      <c r="JZ26" s="13">
        <f t="shared" si="66"/>
        <v>1481859.1695197923</v>
      </c>
      <c r="KA26" s="14">
        <v>43137</v>
      </c>
      <c r="KC26" s="65">
        <f t="shared" si="150"/>
        <v>2</v>
      </c>
      <c r="KD26" s="13">
        <f t="shared" si="67"/>
        <v>993669.47343438305</v>
      </c>
      <c r="KE26" s="14">
        <v>43142</v>
      </c>
      <c r="KG26" s="65">
        <f t="shared" si="151"/>
        <v>11</v>
      </c>
      <c r="KH26" s="13">
        <f t="shared" si="68"/>
        <v>993041.97777938133</v>
      </c>
      <c r="KI26" s="14">
        <v>43142</v>
      </c>
      <c r="KK26" s="65">
        <f t="shared" si="152"/>
        <v>17</v>
      </c>
      <c r="KL26" s="13">
        <f t="shared" si="69"/>
        <v>1500046.8276048352</v>
      </c>
      <c r="KM26" s="14">
        <v>43143</v>
      </c>
      <c r="KO26" s="65">
        <f t="shared" si="153"/>
        <v>6</v>
      </c>
      <c r="KP26" s="13">
        <f t="shared" si="70"/>
        <v>3315398.3528032876</v>
      </c>
      <c r="KQ26" s="14">
        <v>43186</v>
      </c>
      <c r="KS26" s="65">
        <f t="shared" si="154"/>
        <v>33</v>
      </c>
      <c r="KT26" s="13">
        <f t="shared" si="71"/>
        <v>3305461.1664740304</v>
      </c>
      <c r="KU26" s="14">
        <v>43189</v>
      </c>
      <c r="KW26" s="65">
        <f t="shared" si="155"/>
        <v>24</v>
      </c>
      <c r="KX26" s="13">
        <f t="shared" si="72"/>
        <v>2987074.7582670189</v>
      </c>
      <c r="KY26" s="14">
        <v>43191</v>
      </c>
      <c r="LA26" s="65">
        <f t="shared" si="156"/>
        <v>61</v>
      </c>
      <c r="LB26" s="13">
        <f t="shared" si="73"/>
        <v>2630143.9577362202</v>
      </c>
      <c r="LC26" s="14">
        <v>43203</v>
      </c>
      <c r="LE26" s="65">
        <f t="shared" si="157"/>
        <v>2</v>
      </c>
      <c r="LF26" s="13">
        <f t="shared" si="74"/>
        <v>995175.98084265122</v>
      </c>
      <c r="LG26" s="14">
        <v>43206</v>
      </c>
      <c r="LI26" s="65">
        <f t="shared" si="158"/>
        <v>21</v>
      </c>
      <c r="LJ26" s="13">
        <f t="shared" si="75"/>
        <v>2483547.4339302992</v>
      </c>
      <c r="LK26" s="14">
        <v>43210</v>
      </c>
      <c r="LM26" s="65">
        <f t="shared" si="159"/>
        <v>49</v>
      </c>
      <c r="LN26" s="13">
        <f t="shared" si="76"/>
        <v>743573.56145095685</v>
      </c>
      <c r="LO26" s="14">
        <v>43213</v>
      </c>
      <c r="LQ26" s="65">
        <f t="shared" si="160"/>
        <v>18</v>
      </c>
      <c r="LR26" s="13">
        <f t="shared" si="77"/>
        <v>2775266.2121263924</v>
      </c>
      <c r="LS26" s="14">
        <v>43226</v>
      </c>
      <c r="LU26" s="65"/>
      <c r="LV26" s="13"/>
      <c r="LW26" s="14"/>
      <c r="LY26" s="65">
        <f t="shared" si="162"/>
        <v>21</v>
      </c>
      <c r="LZ26" s="13">
        <f t="shared" si="79"/>
        <v>975600.93693638337</v>
      </c>
      <c r="MA26" s="14">
        <v>43238</v>
      </c>
      <c r="MC26" s="65">
        <f t="shared" si="163"/>
        <v>16</v>
      </c>
      <c r="MD26" s="13">
        <f t="shared" si="80"/>
        <v>2864535.1873736926</v>
      </c>
      <c r="ME26" s="14">
        <v>43240</v>
      </c>
      <c r="MG26" s="65">
        <f t="shared" si="164"/>
        <v>11</v>
      </c>
      <c r="MH26" s="13">
        <f t="shared" si="81"/>
        <v>1772757.5339497707</v>
      </c>
      <c r="MI26" s="14">
        <v>43241</v>
      </c>
      <c r="MK26" s="65">
        <f t="shared" si="165"/>
        <v>5</v>
      </c>
      <c r="ML26" s="13">
        <f t="shared" si="82"/>
        <v>1582944.7740606982</v>
      </c>
      <c r="MM26" s="14">
        <v>43247</v>
      </c>
      <c r="MO26" s="65">
        <f t="shared" si="166"/>
        <v>2</v>
      </c>
      <c r="MP26" s="13">
        <f t="shared" si="83"/>
        <v>1456318.8852132848</v>
      </c>
      <c r="MQ26" s="14">
        <v>43249</v>
      </c>
      <c r="MS26" s="65">
        <f t="shared" si="167"/>
        <v>3</v>
      </c>
      <c r="MT26" s="13">
        <f t="shared" si="84"/>
        <v>1442004.8691741736</v>
      </c>
      <c r="MU26" s="14">
        <v>43252</v>
      </c>
    </row>
    <row r="27" spans="1:359" x14ac:dyDescent="0.25">
      <c r="A27" s="15">
        <f t="shared" si="1"/>
        <v>731839.89184460568</v>
      </c>
      <c r="B27" s="20">
        <v>42721</v>
      </c>
      <c r="D27" s="12">
        <v>149</v>
      </c>
      <c r="E27" s="17">
        <v>1140109.9052833363</v>
      </c>
      <c r="F27" s="14">
        <v>42451</v>
      </c>
      <c r="I27" s="12">
        <v>14</v>
      </c>
      <c r="J27" s="17">
        <v>1191890.8987568538</v>
      </c>
      <c r="K27" s="14">
        <v>42493</v>
      </c>
      <c r="N27" s="12">
        <f t="shared" si="85"/>
        <v>79</v>
      </c>
      <c r="O27" s="13">
        <f t="shared" si="2"/>
        <v>731839.89184460568</v>
      </c>
      <c r="P27" s="14">
        <v>42721</v>
      </c>
      <c r="T27" s="15">
        <f t="shared" si="3"/>
        <v>1535182.2902877429</v>
      </c>
      <c r="U27" s="20">
        <v>42970</v>
      </c>
      <c r="W27" s="12">
        <v>149</v>
      </c>
      <c r="X27" s="17">
        <v>1140109.9052833363</v>
      </c>
      <c r="Y27" s="14">
        <v>42451</v>
      </c>
      <c r="AB27" s="12">
        <v>14</v>
      </c>
      <c r="AC27" s="17">
        <v>1191890.8987568538</v>
      </c>
      <c r="AD27" s="14">
        <v>42493</v>
      </c>
      <c r="AG27" s="12">
        <f t="shared" si="86"/>
        <v>14</v>
      </c>
      <c r="AH27" s="13">
        <f t="shared" si="0"/>
        <v>1535182.2902877429</v>
      </c>
      <c r="AI27" s="14">
        <v>42970</v>
      </c>
      <c r="AK27" s="12">
        <f t="shared" si="87"/>
        <v>21</v>
      </c>
      <c r="AL27" s="13">
        <f t="shared" si="4"/>
        <v>1387300.1603730351</v>
      </c>
      <c r="AM27" s="14">
        <v>42977</v>
      </c>
      <c r="AO27" s="12">
        <f t="shared" si="88"/>
        <v>19</v>
      </c>
      <c r="AP27" s="13">
        <f t="shared" si="5"/>
        <v>3652909.695115909</v>
      </c>
      <c r="AQ27" s="14">
        <v>42980</v>
      </c>
      <c r="AS27" s="12">
        <f t="shared" si="89"/>
        <v>9</v>
      </c>
      <c r="AT27" s="13">
        <f t="shared" si="6"/>
        <v>1234205.4963469147</v>
      </c>
      <c r="AU27" s="14">
        <v>42980</v>
      </c>
      <c r="AW27" s="65">
        <f t="shared" si="90"/>
        <v>11</v>
      </c>
      <c r="AX27" s="13">
        <f t="shared" si="7"/>
        <v>697299.32256850204</v>
      </c>
      <c r="AY27" s="14">
        <v>42982</v>
      </c>
      <c r="BA27" s="65">
        <f t="shared" si="91"/>
        <v>8</v>
      </c>
      <c r="BB27" s="13">
        <f t="shared" si="8"/>
        <v>618056.44919477566</v>
      </c>
      <c r="BC27" s="14">
        <v>42982</v>
      </c>
      <c r="BE27" s="65">
        <f t="shared" si="92"/>
        <v>15</v>
      </c>
      <c r="BF27" s="13">
        <f t="shared" si="9"/>
        <v>1393393.5746261275</v>
      </c>
      <c r="BG27" s="14">
        <v>42983</v>
      </c>
      <c r="BI27" s="65">
        <f t="shared" si="93"/>
        <v>4</v>
      </c>
      <c r="BJ27" s="13">
        <f t="shared" si="10"/>
        <v>2490713.2167259455</v>
      </c>
      <c r="BK27" s="14">
        <v>42987</v>
      </c>
      <c r="BM27" s="65">
        <f t="shared" si="94"/>
        <v>33</v>
      </c>
      <c r="BN27" s="13">
        <f t="shared" si="11"/>
        <v>1863937.3929247458</v>
      </c>
      <c r="BO27" s="14">
        <v>42987</v>
      </c>
      <c r="BQ27" s="65">
        <f t="shared" si="95"/>
        <v>38</v>
      </c>
      <c r="BR27" s="13">
        <f t="shared" si="12"/>
        <v>4291397.4119411809</v>
      </c>
      <c r="BS27" s="14">
        <v>42994</v>
      </c>
      <c r="BU27" s="65">
        <f t="shared" si="96"/>
        <v>7</v>
      </c>
      <c r="BV27" s="13">
        <f t="shared" si="13"/>
        <v>1611240.5197730602</v>
      </c>
      <c r="BW27" s="14">
        <v>43003</v>
      </c>
      <c r="BY27" s="65">
        <f t="shared" si="97"/>
        <v>7</v>
      </c>
      <c r="BZ27" s="13">
        <f t="shared" si="14"/>
        <v>1611240.5197730602</v>
      </c>
      <c r="CA27" s="14">
        <v>43003</v>
      </c>
      <c r="CC27" s="65">
        <f t="shared" si="98"/>
        <v>15</v>
      </c>
      <c r="CD27" s="13">
        <f t="shared" si="15"/>
        <v>1623316.086765121</v>
      </c>
      <c r="CE27" s="14">
        <v>43004</v>
      </c>
      <c r="CG27" s="65">
        <f t="shared" si="99"/>
        <v>23</v>
      </c>
      <c r="CH27" s="13">
        <f t="shared" si="16"/>
        <v>973430.87168057263</v>
      </c>
      <c r="CI27" s="14">
        <v>43004</v>
      </c>
      <c r="CK27" s="65">
        <f t="shared" si="100"/>
        <v>47</v>
      </c>
      <c r="CL27" s="13">
        <f t="shared" si="17"/>
        <v>800702.24315176369</v>
      </c>
      <c r="CM27" s="14">
        <v>43008</v>
      </c>
      <c r="CO27" s="65">
        <f t="shared" si="101"/>
        <v>4</v>
      </c>
      <c r="CP27" s="13">
        <f t="shared" si="18"/>
        <v>1835335.5762889436</v>
      </c>
      <c r="CQ27" s="14">
        <v>43010</v>
      </c>
      <c r="CS27" s="65">
        <f t="shared" si="102"/>
        <v>0</v>
      </c>
      <c r="CT27" s="13">
        <f>($CU$2/(1+$CU$4*CS27/360))*0</f>
        <v>0</v>
      </c>
      <c r="CU27" s="14">
        <v>43010</v>
      </c>
      <c r="CW27" s="65">
        <f t="shared" si="103"/>
        <v>29</v>
      </c>
      <c r="CX27" s="13">
        <f t="shared" si="20"/>
        <v>2547273.4757674155</v>
      </c>
      <c r="CY27" s="14">
        <v>43012</v>
      </c>
      <c r="DA27" s="65">
        <f t="shared" si="104"/>
        <v>9</v>
      </c>
      <c r="DB27" s="13">
        <f t="shared" si="21"/>
        <v>2812407.4878236768</v>
      </c>
      <c r="DC27" s="14">
        <v>43017</v>
      </c>
      <c r="DE27" s="65">
        <f t="shared" si="105"/>
        <v>28</v>
      </c>
      <c r="DF27" s="13">
        <f t="shared" si="22"/>
        <v>3199171.5390647752</v>
      </c>
      <c r="DG27" s="14">
        <v>43018</v>
      </c>
      <c r="DI27" s="65"/>
      <c r="DJ27" s="13"/>
      <c r="DK27" s="14"/>
      <c r="DM27" s="65">
        <f t="shared" si="107"/>
        <v>1</v>
      </c>
      <c r="DN27" s="13">
        <f t="shared" si="24"/>
        <v>785248.42164301046</v>
      </c>
      <c r="DO27" s="14">
        <v>43025</v>
      </c>
      <c r="DQ27" s="65"/>
      <c r="DR27" s="13"/>
      <c r="DS27" s="14"/>
      <c r="DU27" s="65">
        <f t="shared" si="109"/>
        <v>73</v>
      </c>
      <c r="DV27" s="13">
        <f>($DW$2/(1+$DW$4*DU27/360))</f>
        <v>2330222.8275735551</v>
      </c>
      <c r="DW27" s="14">
        <v>43029</v>
      </c>
      <c r="DY27" s="65">
        <f t="shared" si="110"/>
        <v>84</v>
      </c>
      <c r="DZ27" s="13">
        <f t="shared" si="27"/>
        <v>791986.61245025811</v>
      </c>
      <c r="EA27" s="14">
        <v>43032</v>
      </c>
      <c r="EC27" s="65">
        <f t="shared" si="111"/>
        <v>9</v>
      </c>
      <c r="ED27" s="13">
        <f>($EE$2/(1+$EE$4*EC27/360))</f>
        <v>1261517.3377778104</v>
      </c>
      <c r="EE27" s="14">
        <v>43033</v>
      </c>
      <c r="EG27" s="65">
        <f t="shared" si="112"/>
        <v>17</v>
      </c>
      <c r="EH27" s="13">
        <f>($EI$2/(1+$EI$4*EG27/360))</f>
        <v>1592321.4869740598</v>
      </c>
      <c r="EI27" s="14">
        <v>43038</v>
      </c>
      <c r="EK27" s="65"/>
      <c r="EL27" s="13"/>
      <c r="EM27" s="14"/>
      <c r="EO27" s="65">
        <f t="shared" si="114"/>
        <v>58</v>
      </c>
      <c r="EP27" s="13">
        <f t="shared" si="31"/>
        <v>1279344.1029178861</v>
      </c>
      <c r="EQ27" s="14">
        <v>43044</v>
      </c>
      <c r="ES27" s="65">
        <f t="shared" si="115"/>
        <v>15</v>
      </c>
      <c r="ET27" s="13">
        <f t="shared" si="32"/>
        <v>1603093.6968325896</v>
      </c>
      <c r="EU27" s="14">
        <v>43044</v>
      </c>
      <c r="EW27" s="65"/>
      <c r="EX27" s="13"/>
      <c r="EY27" s="14"/>
      <c r="FA27" s="65">
        <f t="shared" si="117"/>
        <v>57</v>
      </c>
      <c r="FB27" s="13">
        <f t="shared" si="34"/>
        <v>1258917.6123303319</v>
      </c>
      <c r="FC27" s="14">
        <v>43051</v>
      </c>
      <c r="FE27" s="65">
        <f t="shared" si="118"/>
        <v>52</v>
      </c>
      <c r="FF27" s="13">
        <f t="shared" si="35"/>
        <v>3151511.6796900057</v>
      </c>
      <c r="FG27" s="14">
        <v>43051</v>
      </c>
      <c r="FI27" s="65">
        <f t="shared" si="119"/>
        <v>49</v>
      </c>
      <c r="FJ27" s="13">
        <f t="shared" si="36"/>
        <v>1740370.7553945563</v>
      </c>
      <c r="FK27" s="14">
        <v>43053</v>
      </c>
      <c r="FM27" s="65">
        <f t="shared" si="120"/>
        <v>15</v>
      </c>
      <c r="FN27" s="13">
        <f t="shared" si="37"/>
        <v>1140832.7326507291</v>
      </c>
      <c r="FO27" s="14">
        <v>43058</v>
      </c>
      <c r="FQ27" s="65">
        <f t="shared" si="121"/>
        <v>11</v>
      </c>
      <c r="FR27" s="13">
        <f t="shared" si="38"/>
        <v>1410234.8300130346</v>
      </c>
      <c r="FS27" s="14">
        <v>43058</v>
      </c>
      <c r="FU27" s="65">
        <f t="shared" si="122"/>
        <v>24</v>
      </c>
      <c r="FV27" s="13">
        <f t="shared" si="39"/>
        <v>1904370.2073733059</v>
      </c>
      <c r="FW27" s="14">
        <v>43060</v>
      </c>
      <c r="FY27" s="65">
        <f t="shared" si="123"/>
        <v>10</v>
      </c>
      <c r="FZ27" s="13">
        <f t="shared" si="40"/>
        <v>3945664.1426275442</v>
      </c>
      <c r="GA27" s="14">
        <v>43060</v>
      </c>
      <c r="GC27" s="65">
        <f t="shared" si="124"/>
        <v>14</v>
      </c>
      <c r="GD27" s="13">
        <f t="shared" si="41"/>
        <v>867799.00637643551</v>
      </c>
      <c r="GE27" s="14">
        <v>43061</v>
      </c>
      <c r="GG27" s="65">
        <f t="shared" si="125"/>
        <v>10</v>
      </c>
      <c r="GH27" s="13">
        <f t="shared" si="42"/>
        <v>2840790.0615765145</v>
      </c>
      <c r="GI27" s="14">
        <v>43065</v>
      </c>
      <c r="GK27" s="65">
        <f t="shared" si="126"/>
        <v>1</v>
      </c>
      <c r="GL27" s="13">
        <f t="shared" si="43"/>
        <v>947049.73344754719</v>
      </c>
      <c r="GM27" s="14">
        <v>43082</v>
      </c>
      <c r="GO27" s="65">
        <f t="shared" si="127"/>
        <v>11</v>
      </c>
      <c r="GP27" s="13">
        <f t="shared" si="44"/>
        <v>1257915.8143031618</v>
      </c>
      <c r="GQ27" s="14">
        <v>43085</v>
      </c>
      <c r="GS27" s="65">
        <f t="shared" si="128"/>
        <v>16</v>
      </c>
      <c r="GT27" s="13">
        <f t="shared" si="45"/>
        <v>1548605.2738886178</v>
      </c>
      <c r="GU27" s="14">
        <v>43088</v>
      </c>
      <c r="GW27" s="65">
        <f t="shared" si="129"/>
        <v>16</v>
      </c>
      <c r="GX27" s="13">
        <f t="shared" si="46"/>
        <v>922560.39052955562</v>
      </c>
      <c r="GY27" s="14">
        <v>43089</v>
      </c>
      <c r="HA27" s="65">
        <f t="shared" si="130"/>
        <v>16</v>
      </c>
      <c r="HB27" s="13">
        <f t="shared" si="47"/>
        <v>1537682.5405644281</v>
      </c>
      <c r="HC27" s="14">
        <v>43089</v>
      </c>
      <c r="HE27" s="65">
        <f t="shared" si="131"/>
        <v>11</v>
      </c>
      <c r="HF27" s="13">
        <f t="shared" si="48"/>
        <v>1101906.0563074187</v>
      </c>
      <c r="HG27" s="14">
        <v>43093</v>
      </c>
      <c r="HI27" s="65"/>
      <c r="HJ27" s="13"/>
      <c r="HK27" s="14"/>
      <c r="HM27" s="65"/>
      <c r="HN27" s="13"/>
      <c r="HO27" s="14"/>
      <c r="HQ27" s="65">
        <f t="shared" si="134"/>
        <v>13</v>
      </c>
      <c r="HR27" s="13">
        <f t="shared" si="51"/>
        <v>3045540.6980755082</v>
      </c>
      <c r="HS27" s="14">
        <v>43095</v>
      </c>
      <c r="HU27" s="65"/>
      <c r="HV27" s="13"/>
      <c r="HW27" s="14"/>
      <c r="HY27" s="65"/>
      <c r="HZ27" s="13"/>
      <c r="IA27" s="14"/>
      <c r="IC27" s="65"/>
      <c r="ID27" s="13"/>
      <c r="IE27" s="14"/>
      <c r="IG27" s="65">
        <f t="shared" si="138"/>
        <v>14</v>
      </c>
      <c r="IH27" s="13">
        <f t="shared" si="55"/>
        <v>1284674.8501648076</v>
      </c>
      <c r="II27" s="14">
        <v>43110</v>
      </c>
      <c r="IK27" s="65">
        <f t="shared" si="139"/>
        <v>22</v>
      </c>
      <c r="IL27" s="13">
        <f t="shared" si="56"/>
        <v>2582227.7606049688</v>
      </c>
      <c r="IM27" s="14">
        <v>43114</v>
      </c>
      <c r="IO27" s="65">
        <f t="shared" si="140"/>
        <v>14</v>
      </c>
      <c r="IP27" s="13">
        <f t="shared" si="57"/>
        <v>1135039.427162477</v>
      </c>
      <c r="IQ27" s="14">
        <v>43115</v>
      </c>
      <c r="IS27" s="65">
        <f t="shared" si="141"/>
        <v>11</v>
      </c>
      <c r="IT27" s="13">
        <f t="shared" si="58"/>
        <v>1489489.6187111202</v>
      </c>
      <c r="IU27" s="14">
        <v>43121</v>
      </c>
      <c r="IW27" s="65">
        <f t="shared" si="142"/>
        <v>15</v>
      </c>
      <c r="IX27" s="13">
        <f t="shared" si="59"/>
        <v>1645100.2341780975</v>
      </c>
      <c r="IY27" s="14">
        <v>43121</v>
      </c>
      <c r="JA27" s="65">
        <f t="shared" si="143"/>
        <v>39</v>
      </c>
      <c r="JB27" s="13">
        <f t="shared" si="60"/>
        <v>986711.36482726142</v>
      </c>
      <c r="JC27" s="14">
        <v>43127</v>
      </c>
      <c r="JE27" s="65">
        <f t="shared" si="144"/>
        <v>22</v>
      </c>
      <c r="JF27" s="13">
        <f t="shared" si="61"/>
        <v>1481935.0398939596</v>
      </c>
      <c r="JG27" s="14">
        <v>43138</v>
      </c>
      <c r="JI27" s="65">
        <f t="shared" si="145"/>
        <v>1</v>
      </c>
      <c r="JJ27" s="13">
        <f t="shared" si="62"/>
        <v>993720.91305931378</v>
      </c>
      <c r="JK27" s="14">
        <v>43143</v>
      </c>
      <c r="JM27" s="65">
        <f t="shared" si="146"/>
        <v>10</v>
      </c>
      <c r="JN27" s="13">
        <f t="shared" si="63"/>
        <v>993094.88282107213</v>
      </c>
      <c r="JO27" s="14">
        <v>43143</v>
      </c>
      <c r="JQ27" s="65">
        <f t="shared" si="147"/>
        <v>16</v>
      </c>
      <c r="JR27" s="13">
        <f t="shared" si="64"/>
        <v>1500133.7892640161</v>
      </c>
      <c r="JS27" s="14">
        <v>43144</v>
      </c>
      <c r="JU27" s="65">
        <f t="shared" si="148"/>
        <v>44</v>
      </c>
      <c r="JV27" s="13">
        <f t="shared" si="65"/>
        <v>1650977.7513784345</v>
      </c>
      <c r="JW27" s="14">
        <v>43149</v>
      </c>
      <c r="JY27" s="65">
        <f t="shared" si="149"/>
        <v>22</v>
      </c>
      <c r="JZ27" s="13">
        <f t="shared" si="66"/>
        <v>1481935.0398939596</v>
      </c>
      <c r="KA27" s="14">
        <v>43138</v>
      </c>
      <c r="KC27" s="65">
        <f t="shared" si="150"/>
        <v>1</v>
      </c>
      <c r="KD27" s="13">
        <f t="shared" si="67"/>
        <v>993720.91305931378</v>
      </c>
      <c r="KE27" s="14">
        <v>43143</v>
      </c>
      <c r="KG27" s="65">
        <f t="shared" si="151"/>
        <v>10</v>
      </c>
      <c r="KH27" s="13">
        <f t="shared" si="68"/>
        <v>993094.88282107213</v>
      </c>
      <c r="KI27" s="14">
        <v>43143</v>
      </c>
      <c r="KK27" s="65">
        <f t="shared" si="152"/>
        <v>16</v>
      </c>
      <c r="KL27" s="13">
        <f t="shared" si="69"/>
        <v>1500133.7892640161</v>
      </c>
      <c r="KM27" s="14">
        <v>43144</v>
      </c>
      <c r="KO27" s="65">
        <f t="shared" si="153"/>
        <v>5</v>
      </c>
      <c r="KP27" s="13">
        <f t="shared" si="70"/>
        <v>3315632.6426682686</v>
      </c>
      <c r="KQ27" s="14">
        <v>43187</v>
      </c>
      <c r="KS27" s="65">
        <f t="shared" si="154"/>
        <v>32</v>
      </c>
      <c r="KT27" s="13">
        <f t="shared" si="71"/>
        <v>3305672.9626980661</v>
      </c>
      <c r="KU27" s="14">
        <v>43190</v>
      </c>
      <c r="KW27" s="65">
        <f t="shared" si="155"/>
        <v>23</v>
      </c>
      <c r="KX27" s="13">
        <f t="shared" si="72"/>
        <v>2987259.8797856006</v>
      </c>
      <c r="KY27" s="14">
        <v>43192</v>
      </c>
      <c r="LA27" s="65">
        <f t="shared" si="156"/>
        <v>60</v>
      </c>
      <c r="LB27" s="13">
        <f t="shared" si="73"/>
        <v>2630344.6787894685</v>
      </c>
      <c r="LC27" s="14">
        <v>43204</v>
      </c>
      <c r="LE27" s="65">
        <f t="shared" si="157"/>
        <v>1</v>
      </c>
      <c r="LF27" s="13">
        <f t="shared" si="74"/>
        <v>995265.48580020969</v>
      </c>
      <c r="LG27" s="14">
        <v>43207</v>
      </c>
      <c r="LI27" s="65">
        <f t="shared" si="158"/>
        <v>20</v>
      </c>
      <c r="LJ27" s="13">
        <f t="shared" si="75"/>
        <v>2483718.7350137555</v>
      </c>
      <c r="LK27" s="14">
        <v>43211</v>
      </c>
      <c r="LM27" s="65">
        <f t="shared" si="159"/>
        <v>48</v>
      </c>
      <c r="LN27" s="13">
        <f t="shared" si="76"/>
        <v>743626.61335120513</v>
      </c>
      <c r="LO27" s="14">
        <v>43214</v>
      </c>
      <c r="LQ27" s="65">
        <f t="shared" si="160"/>
        <v>17</v>
      </c>
      <c r="LR27" s="13">
        <f t="shared" si="77"/>
        <v>2775444.5285545732</v>
      </c>
      <c r="LS27" s="14">
        <v>43227</v>
      </c>
      <c r="LU27" s="65"/>
      <c r="LV27" s="13"/>
      <c r="LW27" s="14"/>
      <c r="LY27" s="65">
        <f t="shared" si="162"/>
        <v>20</v>
      </c>
      <c r="LZ27" s="13">
        <f t="shared" si="79"/>
        <v>975667.08074942918</v>
      </c>
      <c r="MA27" s="14">
        <v>43239</v>
      </c>
      <c r="MC27" s="65">
        <f t="shared" si="163"/>
        <v>15</v>
      </c>
      <c r="MD27" s="13">
        <f t="shared" si="80"/>
        <v>2864717.797586544</v>
      </c>
      <c r="ME27" s="14">
        <v>43241</v>
      </c>
      <c r="MG27" s="65">
        <f t="shared" si="164"/>
        <v>10</v>
      </c>
      <c r="MH27" s="13">
        <f t="shared" si="81"/>
        <v>1772877.5940165923</v>
      </c>
      <c r="MI27" s="14">
        <v>43242</v>
      </c>
      <c r="MK27" s="65">
        <f t="shared" si="165"/>
        <v>4</v>
      </c>
      <c r="ML27" s="13">
        <f t="shared" si="82"/>
        <v>1583047.0029055185</v>
      </c>
      <c r="MM27" s="14">
        <v>43248</v>
      </c>
      <c r="MO27" s="65">
        <f t="shared" si="166"/>
        <v>1</v>
      </c>
      <c r="MP27" s="13">
        <f t="shared" si="83"/>
        <v>1456432.6195726828</v>
      </c>
      <c r="MQ27" s="14">
        <v>43250</v>
      </c>
      <c r="MS27" s="65">
        <f t="shared" si="167"/>
        <v>2</v>
      </c>
      <c r="MT27" s="13">
        <f t="shared" si="84"/>
        <v>1442105.7953853463</v>
      </c>
      <c r="MU27" s="14">
        <v>43253</v>
      </c>
    </row>
    <row r="28" spans="1:359" x14ac:dyDescent="0.25">
      <c r="A28" s="15">
        <f t="shared" si="1"/>
        <v>731869.17483053962</v>
      </c>
      <c r="B28" s="20">
        <v>42722</v>
      </c>
      <c r="D28" s="12">
        <v>148</v>
      </c>
      <c r="E28" s="17">
        <v>1140137.0232742573</v>
      </c>
      <c r="F28" s="14">
        <v>42452</v>
      </c>
      <c r="I28" s="12">
        <v>13</v>
      </c>
      <c r="J28" s="17">
        <v>1191905.1523199163</v>
      </c>
      <c r="K28" s="14">
        <v>42494</v>
      </c>
      <c r="N28" s="12">
        <f t="shared" si="85"/>
        <v>78</v>
      </c>
      <c r="O28" s="13">
        <f t="shared" si="2"/>
        <v>731869.17483053962</v>
      </c>
      <c r="P28" s="14">
        <v>42722</v>
      </c>
      <c r="T28" s="15">
        <f t="shared" si="3"/>
        <v>1535261.1459660993</v>
      </c>
      <c r="U28" s="20">
        <v>42971</v>
      </c>
      <c r="W28" s="12">
        <v>148</v>
      </c>
      <c r="X28" s="17">
        <v>1140137.0232742573</v>
      </c>
      <c r="Y28" s="14">
        <v>42452</v>
      </c>
      <c r="AB28" s="12">
        <v>13</v>
      </c>
      <c r="AC28" s="17">
        <v>1191905.1523199163</v>
      </c>
      <c r="AD28" s="14">
        <v>42494</v>
      </c>
      <c r="AG28" s="12">
        <f t="shared" si="86"/>
        <v>13</v>
      </c>
      <c r="AH28" s="13">
        <f t="shared" si="0"/>
        <v>1535261.1459660993</v>
      </c>
      <c r="AI28" s="14">
        <v>42971</v>
      </c>
      <c r="AK28" s="12">
        <f t="shared" si="87"/>
        <v>20</v>
      </c>
      <c r="AL28" s="13">
        <f t="shared" si="4"/>
        <v>1387369.6214593295</v>
      </c>
      <c r="AM28" s="14">
        <v>42978</v>
      </c>
      <c r="AO28" s="12">
        <f t="shared" si="88"/>
        <v>18</v>
      </c>
      <c r="AP28" s="13">
        <f t="shared" si="5"/>
        <v>3653108.8813207806</v>
      </c>
      <c r="AQ28" s="14">
        <v>42981</v>
      </c>
      <c r="AS28" s="12">
        <f t="shared" si="89"/>
        <v>8</v>
      </c>
      <c r="AT28" s="13">
        <f t="shared" si="6"/>
        <v>1234279.6061011914</v>
      </c>
      <c r="AU28" s="14">
        <v>42981</v>
      </c>
      <c r="AW28" s="65">
        <f t="shared" si="90"/>
        <v>10</v>
      </c>
      <c r="AX28" s="13">
        <f t="shared" si="7"/>
        <v>697336.35251764429</v>
      </c>
      <c r="AY28" s="14">
        <v>42983</v>
      </c>
      <c r="BA28" s="65">
        <f t="shared" si="91"/>
        <v>7</v>
      </c>
      <c r="BB28" s="13">
        <f t="shared" si="8"/>
        <v>618093.46607150754</v>
      </c>
      <c r="BC28" s="14">
        <v>42983</v>
      </c>
      <c r="BE28" s="65">
        <f t="shared" si="92"/>
        <v>14</v>
      </c>
      <c r="BF28" s="13">
        <f t="shared" si="9"/>
        <v>1393473.4109883716</v>
      </c>
      <c r="BG28" s="14">
        <v>42984</v>
      </c>
      <c r="BI28" s="65">
        <f t="shared" si="93"/>
        <v>3</v>
      </c>
      <c r="BJ28" s="13">
        <f t="shared" si="10"/>
        <v>2490845.3244400257</v>
      </c>
      <c r="BK28" s="14">
        <v>42988</v>
      </c>
      <c r="BM28" s="65">
        <f t="shared" si="94"/>
        <v>32</v>
      </c>
      <c r="BN28" s="13">
        <f t="shared" si="11"/>
        <v>1864036.401307238</v>
      </c>
      <c r="BO28" s="14">
        <v>42988</v>
      </c>
      <c r="BQ28" s="65">
        <f t="shared" si="95"/>
        <v>37</v>
      </c>
      <c r="BR28" s="13">
        <f t="shared" si="12"/>
        <v>4291696.9411678268</v>
      </c>
      <c r="BS28" s="14">
        <v>42995</v>
      </c>
      <c r="BU28" s="65">
        <f t="shared" si="96"/>
        <v>6</v>
      </c>
      <c r="BV28" s="13">
        <f t="shared" si="13"/>
        <v>1611314.6250643095</v>
      </c>
      <c r="BW28" s="14">
        <v>43004</v>
      </c>
      <c r="BY28" s="65">
        <f t="shared" si="97"/>
        <v>6</v>
      </c>
      <c r="BZ28" s="13">
        <f t="shared" si="14"/>
        <v>1611314.6250643095</v>
      </c>
      <c r="CA28" s="14">
        <v>43004</v>
      </c>
      <c r="CC28" s="65">
        <f t="shared" si="98"/>
        <v>14</v>
      </c>
      <c r="CD28" s="13">
        <f t="shared" si="15"/>
        <v>1623386.8825021675</v>
      </c>
      <c r="CE28" s="14">
        <v>43005</v>
      </c>
      <c r="CG28" s="65">
        <f t="shared" si="99"/>
        <v>22</v>
      </c>
      <c r="CH28" s="13">
        <f t="shared" si="16"/>
        <v>973473.89766543824</v>
      </c>
      <c r="CI28" s="14">
        <v>43005</v>
      </c>
      <c r="CK28" s="65">
        <f t="shared" si="100"/>
        <v>46</v>
      </c>
      <c r="CL28" s="13">
        <f t="shared" si="17"/>
        <v>800739.94457748916</v>
      </c>
      <c r="CM28" s="14">
        <v>43009</v>
      </c>
      <c r="CO28" s="65">
        <f t="shared" si="101"/>
        <v>3</v>
      </c>
      <c r="CP28" s="13">
        <f t="shared" si="18"/>
        <v>1835407.6415901331</v>
      </c>
      <c r="CQ28" s="14">
        <v>43011</v>
      </c>
      <c r="CS28" s="65"/>
      <c r="CT28" s="13"/>
      <c r="CU28" s="14"/>
      <c r="CW28" s="65">
        <f t="shared" si="103"/>
        <v>28</v>
      </c>
      <c r="CX28" s="13">
        <f t="shared" si="20"/>
        <v>2547387.1131604807</v>
      </c>
      <c r="CY28" s="14">
        <v>43013</v>
      </c>
      <c r="DA28" s="65">
        <f t="shared" si="104"/>
        <v>8</v>
      </c>
      <c r="DB28" s="13">
        <f t="shared" si="21"/>
        <v>2812534.3942410387</v>
      </c>
      <c r="DC28" s="14">
        <v>43018</v>
      </c>
      <c r="DE28" s="65">
        <f t="shared" si="105"/>
        <v>27</v>
      </c>
      <c r="DF28" s="13">
        <f t="shared" si="22"/>
        <v>3199329.0608271197</v>
      </c>
      <c r="DG28" s="14">
        <v>43019</v>
      </c>
      <c r="DI28" s="65"/>
      <c r="DJ28" s="13"/>
      <c r="DK28" s="14"/>
      <c r="DM28" s="65">
        <f t="shared" si="107"/>
        <v>0</v>
      </c>
      <c r="DN28" s="13">
        <f>($DO$2/(1+$DO$4*DM28/360))*0</f>
        <v>0</v>
      </c>
      <c r="DO28" s="14">
        <v>43026</v>
      </c>
      <c r="DQ28" s="65"/>
      <c r="DR28" s="13"/>
      <c r="DS28" s="14"/>
      <c r="DU28" s="65">
        <f t="shared" si="109"/>
        <v>72</v>
      </c>
      <c r="DV28" s="13">
        <f t="shared" si="26"/>
        <v>2330337.6436380008</v>
      </c>
      <c r="DW28" s="14">
        <v>43030</v>
      </c>
      <c r="DY28" s="65">
        <f t="shared" si="110"/>
        <v>83</v>
      </c>
      <c r="DZ28" s="13">
        <f t="shared" si="27"/>
        <v>792028.03955738503</v>
      </c>
      <c r="EA28" s="14">
        <v>43033</v>
      </c>
      <c r="EC28" s="65">
        <f t="shared" si="111"/>
        <v>8</v>
      </c>
      <c r="ED28" s="13">
        <f t="shared" si="28"/>
        <v>1261578.5580751842</v>
      </c>
      <c r="EE28" s="14">
        <v>43034</v>
      </c>
      <c r="EG28" s="65">
        <f t="shared" si="112"/>
        <v>16</v>
      </c>
      <c r="EH28" s="13">
        <f t="shared" si="29"/>
        <v>1592407.0840064185</v>
      </c>
      <c r="EI28" s="14">
        <v>43039</v>
      </c>
      <c r="EK28" s="65"/>
      <c r="EL28" s="13"/>
      <c r="EM28" s="14"/>
      <c r="EO28" s="65">
        <f t="shared" si="114"/>
        <v>57</v>
      </c>
      <c r="EP28" s="13">
        <f t="shared" si="31"/>
        <v>1279418.9035960971</v>
      </c>
      <c r="EQ28" s="14">
        <v>43045</v>
      </c>
      <c r="ES28" s="65">
        <f t="shared" si="115"/>
        <v>14</v>
      </c>
      <c r="ET28" s="13">
        <f t="shared" si="32"/>
        <v>1603186.8796053412</v>
      </c>
      <c r="EU28" s="14">
        <v>43045</v>
      </c>
      <c r="EW28" s="65"/>
      <c r="EX28" s="13"/>
      <c r="EY28" s="14"/>
      <c r="FA28" s="65">
        <f t="shared" si="117"/>
        <v>56</v>
      </c>
      <c r="FB28" s="13">
        <f t="shared" si="34"/>
        <v>1258992.5689744302</v>
      </c>
      <c r="FC28" s="14">
        <v>43052</v>
      </c>
      <c r="FE28" s="65">
        <f t="shared" si="118"/>
        <v>51</v>
      </c>
      <c r="FF28" s="13">
        <f t="shared" si="35"/>
        <v>3151687.9909383068</v>
      </c>
      <c r="FG28" s="14">
        <v>43052</v>
      </c>
      <c r="FI28" s="65">
        <f t="shared" si="119"/>
        <v>48</v>
      </c>
      <c r="FJ28" s="13">
        <f t="shared" si="36"/>
        <v>1740476.9266390151</v>
      </c>
      <c r="FK28" s="14">
        <v>43054</v>
      </c>
      <c r="FM28" s="65">
        <f t="shared" si="120"/>
        <v>14</v>
      </c>
      <c r="FN28" s="13">
        <f t="shared" si="37"/>
        <v>1140900.4979365047</v>
      </c>
      <c r="FO28" s="14">
        <v>43059</v>
      </c>
      <c r="FQ28" s="65">
        <f t="shared" si="121"/>
        <v>10</v>
      </c>
      <c r="FR28" s="13">
        <f t="shared" si="38"/>
        <v>1410317.5158092564</v>
      </c>
      <c r="FS28" s="14">
        <v>43059</v>
      </c>
      <c r="FU28" s="65">
        <f t="shared" si="122"/>
        <v>23</v>
      </c>
      <c r="FV28" s="13">
        <f t="shared" si="39"/>
        <v>1904483.0107126425</v>
      </c>
      <c r="FW28" s="14">
        <v>43061</v>
      </c>
      <c r="FY28" s="65">
        <f t="shared" si="123"/>
        <v>9</v>
      </c>
      <c r="FZ28" s="13">
        <f t="shared" si="40"/>
        <v>3945886.4034110801</v>
      </c>
      <c r="GA28" s="14">
        <v>43061</v>
      </c>
      <c r="GC28" s="65">
        <f t="shared" si="124"/>
        <v>13</v>
      </c>
      <c r="GD28" s="13">
        <f t="shared" si="41"/>
        <v>867847.64696706831</v>
      </c>
      <c r="GE28" s="14">
        <v>43062</v>
      </c>
      <c r="GG28" s="65">
        <f t="shared" si="125"/>
        <v>9</v>
      </c>
      <c r="GH28" s="13">
        <f t="shared" si="42"/>
        <v>2840945.4409194537</v>
      </c>
      <c r="GI28" s="14">
        <v>43066</v>
      </c>
      <c r="GK28" s="65">
        <f t="shared" si="126"/>
        <v>0</v>
      </c>
      <c r="GL28" s="13">
        <f>($GM$2/(1+$GM$4*GK28/360))*0</f>
        <v>0</v>
      </c>
      <c r="GM28" s="14">
        <v>43083</v>
      </c>
      <c r="GO28" s="65">
        <f t="shared" si="127"/>
        <v>10</v>
      </c>
      <c r="GP28" s="13">
        <f t="shared" si="44"/>
        <v>1258018.7844109989</v>
      </c>
      <c r="GQ28" s="14">
        <v>43086</v>
      </c>
      <c r="GS28" s="65">
        <f t="shared" si="128"/>
        <v>15</v>
      </c>
      <c r="GT28" s="13">
        <f t="shared" si="45"/>
        <v>1548730.0406012973</v>
      </c>
      <c r="GU28" s="14">
        <v>43089</v>
      </c>
      <c r="GW28" s="65">
        <f t="shared" si="129"/>
        <v>15</v>
      </c>
      <c r="GX28" s="13">
        <f t="shared" si="46"/>
        <v>922631.67106190883</v>
      </c>
      <c r="GY28" s="14">
        <v>43090</v>
      </c>
      <c r="HA28" s="65">
        <f t="shared" si="130"/>
        <v>15</v>
      </c>
      <c r="HB28" s="13">
        <f t="shared" si="47"/>
        <v>1537796.2342618252</v>
      </c>
      <c r="HC28" s="14">
        <v>43090</v>
      </c>
      <c r="HE28" s="65">
        <f t="shared" si="131"/>
        <v>10</v>
      </c>
      <c r="HF28" s="13">
        <f t="shared" si="48"/>
        <v>1101989.3449900998</v>
      </c>
      <c r="HG28" s="14">
        <v>43094</v>
      </c>
      <c r="HI28" s="65"/>
      <c r="HJ28" s="13"/>
      <c r="HK28" s="14"/>
      <c r="HM28" s="65"/>
      <c r="HN28" s="13"/>
      <c r="HO28" s="14"/>
      <c r="HQ28" s="65">
        <f t="shared" si="134"/>
        <v>12</v>
      </c>
      <c r="HR28" s="13">
        <f t="shared" si="51"/>
        <v>3045814.644656301</v>
      </c>
      <c r="HS28" s="14">
        <v>43096</v>
      </c>
      <c r="HU28" s="65"/>
      <c r="HV28" s="13"/>
      <c r="HW28" s="14"/>
      <c r="HY28" s="65"/>
      <c r="HZ28" s="13"/>
      <c r="IA28" s="14"/>
      <c r="IC28" s="65"/>
      <c r="ID28" s="13"/>
      <c r="IE28" s="14"/>
      <c r="IG28" s="65">
        <f t="shared" si="138"/>
        <v>13</v>
      </c>
      <c r="IH28" s="13">
        <f t="shared" si="55"/>
        <v>1284781.7905502373</v>
      </c>
      <c r="II28" s="14">
        <v>43111</v>
      </c>
      <c r="IK28" s="65">
        <f t="shared" si="139"/>
        <v>21</v>
      </c>
      <c r="IL28" s="13">
        <f t="shared" si="56"/>
        <v>2582445.6250134637</v>
      </c>
      <c r="IM28" s="14">
        <v>43115</v>
      </c>
      <c r="IO28" s="65">
        <f t="shared" si="140"/>
        <v>13</v>
      </c>
      <c r="IP28" s="13">
        <f t="shared" si="57"/>
        <v>1135133.911423458</v>
      </c>
      <c r="IQ28" s="14">
        <v>43116</v>
      </c>
      <c r="IS28" s="65">
        <f t="shared" si="141"/>
        <v>10</v>
      </c>
      <c r="IT28" s="13">
        <f t="shared" si="58"/>
        <v>1489583.333790014</v>
      </c>
      <c r="IU28" s="14">
        <v>43122</v>
      </c>
      <c r="IW28" s="65">
        <f t="shared" si="142"/>
        <v>14</v>
      </c>
      <c r="IX28" s="13">
        <f t="shared" si="59"/>
        <v>1645202.3056398451</v>
      </c>
      <c r="IY28" s="14">
        <v>43122</v>
      </c>
      <c r="JA28" s="65">
        <f t="shared" si="143"/>
        <v>38</v>
      </c>
      <c r="JB28" s="13">
        <f t="shared" si="60"/>
        <v>986763.81552146352</v>
      </c>
      <c r="JC28" s="14">
        <v>43128</v>
      </c>
      <c r="JE28" s="65">
        <f t="shared" si="144"/>
        <v>21</v>
      </c>
      <c r="JF28" s="13">
        <f t="shared" si="61"/>
        <v>1482010.9180375678</v>
      </c>
      <c r="JG28" s="14">
        <v>43139</v>
      </c>
      <c r="JI28" s="65">
        <f t="shared" si="145"/>
        <v>0</v>
      </c>
      <c r="JJ28" s="13">
        <f>($JK$2/(1+$JK$4*JI28/360))*0</f>
        <v>0</v>
      </c>
      <c r="JK28" s="14">
        <v>43144</v>
      </c>
      <c r="JM28" s="65">
        <f t="shared" si="146"/>
        <v>9</v>
      </c>
      <c r="JN28" s="13">
        <f t="shared" si="63"/>
        <v>993147.79350017325</v>
      </c>
      <c r="JO28" s="14">
        <v>43144</v>
      </c>
      <c r="JQ28" s="65">
        <f t="shared" si="147"/>
        <v>15</v>
      </c>
      <c r="JR28" s="13">
        <f t="shared" si="64"/>
        <v>1500220.7610065737</v>
      </c>
      <c r="JS28" s="14">
        <v>43145</v>
      </c>
      <c r="JU28" s="65">
        <f t="shared" si="148"/>
        <v>43</v>
      </c>
      <c r="JV28" s="13">
        <f t="shared" si="65"/>
        <v>1651080.0765542863</v>
      </c>
      <c r="JW28" s="14">
        <v>43150</v>
      </c>
      <c r="JY28" s="65">
        <f t="shared" si="149"/>
        <v>21</v>
      </c>
      <c r="JZ28" s="13">
        <f t="shared" si="66"/>
        <v>1482010.9180375678</v>
      </c>
      <c r="KA28" s="14">
        <v>43139</v>
      </c>
      <c r="KC28" s="65">
        <f t="shared" si="150"/>
        <v>0</v>
      </c>
      <c r="KD28" s="13">
        <f>($JK$2/(1+$JK$4*KC28/360))*0</f>
        <v>0</v>
      </c>
      <c r="KE28" s="14">
        <v>43144</v>
      </c>
      <c r="KG28" s="65">
        <f t="shared" si="151"/>
        <v>9</v>
      </c>
      <c r="KH28" s="13">
        <f t="shared" si="68"/>
        <v>993147.79350017325</v>
      </c>
      <c r="KI28" s="14">
        <v>43144</v>
      </c>
      <c r="KK28" s="65">
        <f t="shared" si="152"/>
        <v>15</v>
      </c>
      <c r="KL28" s="13">
        <f t="shared" si="69"/>
        <v>1500220.7610065737</v>
      </c>
      <c r="KM28" s="14">
        <v>43145</v>
      </c>
      <c r="KO28" s="65">
        <f t="shared" si="153"/>
        <v>4</v>
      </c>
      <c r="KP28" s="13">
        <f t="shared" si="70"/>
        <v>3315866.9656488001</v>
      </c>
      <c r="KQ28" s="14">
        <v>43188</v>
      </c>
      <c r="KS28" s="65">
        <f t="shared" si="154"/>
        <v>31</v>
      </c>
      <c r="KT28" s="13">
        <f t="shared" si="71"/>
        <v>3305884.7860653736</v>
      </c>
      <c r="KU28" s="14">
        <v>43191</v>
      </c>
      <c r="KW28" s="65">
        <f t="shared" si="155"/>
        <v>22</v>
      </c>
      <c r="KX28" s="13">
        <f t="shared" si="72"/>
        <v>2987445.0242511132</v>
      </c>
      <c r="KY28" s="14">
        <v>43193</v>
      </c>
      <c r="LA28" s="65">
        <f t="shared" si="156"/>
        <v>59</v>
      </c>
      <c r="LB28" s="13">
        <f t="shared" si="73"/>
        <v>2630545.4304813556</v>
      </c>
      <c r="LC28" s="14">
        <v>43205</v>
      </c>
      <c r="LE28" s="65">
        <f t="shared" si="157"/>
        <v>0</v>
      </c>
      <c r="LF28" s="13">
        <f>($LG$2/(1+$LG$4*LE28/360))*0</f>
        <v>0</v>
      </c>
      <c r="LG28" s="14">
        <v>43208</v>
      </c>
      <c r="LI28" s="65">
        <f t="shared" si="158"/>
        <v>19</v>
      </c>
      <c r="LJ28" s="13">
        <f t="shared" si="75"/>
        <v>2483890.059729605</v>
      </c>
      <c r="LK28" s="14">
        <v>43212</v>
      </c>
      <c r="LM28" s="65">
        <f t="shared" si="159"/>
        <v>47</v>
      </c>
      <c r="LN28" s="13">
        <f t="shared" si="76"/>
        <v>743679.67282220384</v>
      </c>
      <c r="LO28" s="14">
        <v>43215</v>
      </c>
      <c r="LQ28" s="65">
        <f t="shared" si="160"/>
        <v>16</v>
      </c>
      <c r="LR28" s="13">
        <f t="shared" si="77"/>
        <v>2775622.8678986044</v>
      </c>
      <c r="LS28" s="14">
        <v>43228</v>
      </c>
      <c r="LU28" s="65"/>
      <c r="LV28" s="13"/>
      <c r="LW28" s="14"/>
      <c r="LY28" s="65">
        <f t="shared" si="162"/>
        <v>19</v>
      </c>
      <c r="LZ28" s="13">
        <f t="shared" si="79"/>
        <v>975733.23353192233</v>
      </c>
      <c r="MA28" s="14">
        <v>43240</v>
      </c>
      <c r="MC28" s="65">
        <f t="shared" si="163"/>
        <v>14</v>
      </c>
      <c r="MD28" s="13">
        <f t="shared" si="80"/>
        <v>2864900.4310831847</v>
      </c>
      <c r="ME28" s="14">
        <v>43242</v>
      </c>
      <c r="MG28" s="65">
        <f t="shared" si="164"/>
        <v>9</v>
      </c>
      <c r="MH28" s="13">
        <f t="shared" si="81"/>
        <v>1772997.6703466601</v>
      </c>
      <c r="MI28" s="14">
        <v>43243</v>
      </c>
      <c r="MK28" s="65">
        <f t="shared" si="165"/>
        <v>3</v>
      </c>
      <c r="ML28" s="13">
        <f t="shared" si="82"/>
        <v>1583149.2449553621</v>
      </c>
      <c r="MM28" s="14">
        <v>43249</v>
      </c>
      <c r="MO28" s="65">
        <f t="shared" si="166"/>
        <v>0</v>
      </c>
      <c r="MP28" s="13">
        <f t="shared" si="83"/>
        <v>1456546.3716981276</v>
      </c>
      <c r="MQ28" s="14">
        <v>43251</v>
      </c>
      <c r="MS28" s="65">
        <f t="shared" si="167"/>
        <v>1</v>
      </c>
      <c r="MT28" s="13">
        <f t="shared" si="84"/>
        <v>1442206.7357251993</v>
      </c>
      <c r="MU28" s="14">
        <v>43254</v>
      </c>
    </row>
    <row r="29" spans="1:359" x14ac:dyDescent="0.25">
      <c r="A29" s="15">
        <f t="shared" si="1"/>
        <v>731898.46015995764</v>
      </c>
      <c r="B29" s="20">
        <v>42723</v>
      </c>
      <c r="D29" s="12">
        <v>147</v>
      </c>
      <c r="E29" s="17">
        <v>1140164.1425552345</v>
      </c>
      <c r="F29" s="14">
        <v>42453</v>
      </c>
      <c r="I29" s="12">
        <v>12</v>
      </c>
      <c r="J29" s="17">
        <v>1191919.4062238932</v>
      </c>
      <c r="K29" s="14">
        <v>42495</v>
      </c>
      <c r="N29" s="12">
        <f t="shared" si="85"/>
        <v>77</v>
      </c>
      <c r="O29" s="13">
        <f t="shared" si="2"/>
        <v>731898.46015995764</v>
      </c>
      <c r="P29" s="14">
        <v>42723</v>
      </c>
      <c r="T29" s="15">
        <f t="shared" si="3"/>
        <v>1535340.0097458228</v>
      </c>
      <c r="U29" s="20">
        <v>42972</v>
      </c>
      <c r="W29" s="12">
        <v>147</v>
      </c>
      <c r="X29" s="17">
        <v>1140164.1425552345</v>
      </c>
      <c r="Y29" s="14">
        <v>42453</v>
      </c>
      <c r="AB29" s="12">
        <v>12</v>
      </c>
      <c r="AC29" s="17">
        <v>1191919.4062238932</v>
      </c>
      <c r="AD29" s="14">
        <v>42495</v>
      </c>
      <c r="AG29" s="12">
        <f t="shared" si="86"/>
        <v>12</v>
      </c>
      <c r="AH29" s="13">
        <f t="shared" si="0"/>
        <v>1535340.0097458228</v>
      </c>
      <c r="AI29" s="14">
        <v>42972</v>
      </c>
      <c r="AK29" s="12">
        <f t="shared" si="87"/>
        <v>19</v>
      </c>
      <c r="AL29" s="13">
        <f t="shared" si="4"/>
        <v>1387439.089501702</v>
      </c>
      <c r="AM29" s="14">
        <v>42979</v>
      </c>
      <c r="AO29" s="12">
        <f t="shared" si="88"/>
        <v>17</v>
      </c>
      <c r="AP29" s="13">
        <f t="shared" si="5"/>
        <v>3653308.0892493255</v>
      </c>
      <c r="AQ29" s="14">
        <v>42982</v>
      </c>
      <c r="AS29" s="12">
        <f t="shared" si="89"/>
        <v>7</v>
      </c>
      <c r="AT29" s="13">
        <f t="shared" si="6"/>
        <v>1234353.724756069</v>
      </c>
      <c r="AU29" s="14">
        <v>42982</v>
      </c>
      <c r="AW29" s="65">
        <f t="shared" si="90"/>
        <v>9</v>
      </c>
      <c r="AX29" s="13">
        <f t="shared" si="7"/>
        <v>697373.38639993244</v>
      </c>
      <c r="AY29" s="14">
        <v>42984</v>
      </c>
      <c r="BA29" s="65">
        <f t="shared" si="91"/>
        <v>6</v>
      </c>
      <c r="BB29" s="13">
        <f t="shared" si="8"/>
        <v>618130.48738256341</v>
      </c>
      <c r="BC29" s="14">
        <v>42984</v>
      </c>
      <c r="BE29" s="65">
        <f t="shared" si="92"/>
        <v>13</v>
      </c>
      <c r="BF29" s="13">
        <f t="shared" si="9"/>
        <v>1393553.2564998041</v>
      </c>
      <c r="BG29" s="14">
        <v>42985</v>
      </c>
      <c r="BI29" s="65">
        <f t="shared" si="93"/>
        <v>2</v>
      </c>
      <c r="BJ29" s="13">
        <f t="shared" si="10"/>
        <v>2490977.446168866</v>
      </c>
      <c r="BK29" s="14">
        <v>42989</v>
      </c>
      <c r="BM29" s="65">
        <f t="shared" si="94"/>
        <v>31</v>
      </c>
      <c r="BN29" s="13">
        <f t="shared" si="11"/>
        <v>1864135.4202085177</v>
      </c>
      <c r="BO29" s="14">
        <v>42989</v>
      </c>
      <c r="BQ29" s="65">
        <f t="shared" si="95"/>
        <v>36</v>
      </c>
      <c r="BR29" s="13">
        <f t="shared" si="12"/>
        <v>4291996.5122102313</v>
      </c>
      <c r="BS29" s="14">
        <v>42996</v>
      </c>
      <c r="BU29" s="65">
        <f t="shared" si="96"/>
        <v>5</v>
      </c>
      <c r="BV29" s="13">
        <f t="shared" si="13"/>
        <v>1611388.737172476</v>
      </c>
      <c r="BW29" s="14">
        <v>43005</v>
      </c>
      <c r="BY29" s="65">
        <f t="shared" si="97"/>
        <v>5</v>
      </c>
      <c r="BZ29" s="13">
        <f t="shared" si="14"/>
        <v>1611388.737172476</v>
      </c>
      <c r="CA29" s="14">
        <v>43005</v>
      </c>
      <c r="CC29" s="65">
        <f t="shared" si="98"/>
        <v>13</v>
      </c>
      <c r="CD29" s="13">
        <f t="shared" si="15"/>
        <v>1623457.684414542</v>
      </c>
      <c r="CE29" s="14">
        <v>43006</v>
      </c>
      <c r="CG29" s="65">
        <f t="shared" si="99"/>
        <v>21</v>
      </c>
      <c r="CH29" s="13">
        <f t="shared" si="16"/>
        <v>973516.92745399941</v>
      </c>
      <c r="CI29" s="14">
        <v>43006</v>
      </c>
      <c r="CK29" s="65">
        <f t="shared" si="100"/>
        <v>45</v>
      </c>
      <c r="CL29" s="13">
        <f t="shared" si="17"/>
        <v>800777.64955375891</v>
      </c>
      <c r="CM29" s="14">
        <v>43010</v>
      </c>
      <c r="CO29" s="65">
        <f t="shared" si="101"/>
        <v>2</v>
      </c>
      <c r="CP29" s="13">
        <f t="shared" si="18"/>
        <v>1835479.7125508992</v>
      </c>
      <c r="CQ29" s="14">
        <v>43012</v>
      </c>
      <c r="CS29" s="65"/>
      <c r="CT29" s="13"/>
      <c r="CU29" s="14"/>
      <c r="CW29" s="65">
        <f t="shared" si="103"/>
        <v>27</v>
      </c>
      <c r="CX29" s="13">
        <f t="shared" si="20"/>
        <v>2547500.7606930402</v>
      </c>
      <c r="CY29" s="14">
        <v>43014</v>
      </c>
      <c r="DA29" s="65">
        <f t="shared" si="104"/>
        <v>7</v>
      </c>
      <c r="DB29" s="13">
        <f>($DC$2/(1+$DC$4*DA29/360))</f>
        <v>2812661.312111909</v>
      </c>
      <c r="DC29" s="14">
        <v>43019</v>
      </c>
      <c r="DE29" s="65">
        <f t="shared" si="105"/>
        <v>26</v>
      </c>
      <c r="DF29" s="13">
        <f>($DG$2/(1+$DG$4*DE29/360))</f>
        <v>3199486.5981024355</v>
      </c>
      <c r="DG29" s="14">
        <v>43020</v>
      </c>
      <c r="DI29" s="65"/>
      <c r="DJ29" s="13"/>
      <c r="DK29" s="14"/>
      <c r="DM29" s="65"/>
      <c r="DN29" s="13"/>
      <c r="DO29" s="14"/>
      <c r="DQ29" s="65"/>
      <c r="DR29" s="13"/>
      <c r="DS29" s="14"/>
      <c r="DU29" s="65">
        <f t="shared" si="109"/>
        <v>71</v>
      </c>
      <c r="DV29" s="13">
        <f t="shared" si="26"/>
        <v>2330452.4710175688</v>
      </c>
      <c r="DW29" s="14">
        <v>43031</v>
      </c>
      <c r="DY29" s="65">
        <f t="shared" si="110"/>
        <v>82</v>
      </c>
      <c r="DZ29" s="13">
        <f t="shared" si="27"/>
        <v>792069.47099866369</v>
      </c>
      <c r="EA29" s="14">
        <v>43034</v>
      </c>
      <c r="EC29" s="65">
        <f t="shared" si="111"/>
        <v>7</v>
      </c>
      <c r="ED29" s="13">
        <f t="shared" si="28"/>
        <v>1261639.7843147782</v>
      </c>
      <c r="EE29" s="14">
        <v>43035</v>
      </c>
      <c r="EG29" s="65">
        <f t="shared" si="112"/>
        <v>15</v>
      </c>
      <c r="EH29" s="13">
        <f t="shared" si="29"/>
        <v>1592492.6902420009</v>
      </c>
      <c r="EI29" s="14">
        <v>43040</v>
      </c>
      <c r="EK29" s="65"/>
      <c r="EL29" s="13"/>
      <c r="EM29" s="14"/>
      <c r="EO29" s="65">
        <f t="shared" si="114"/>
        <v>56</v>
      </c>
      <c r="EP29" s="13">
        <f t="shared" si="31"/>
        <v>1279493.7130217098</v>
      </c>
      <c r="EQ29" s="14">
        <v>43046</v>
      </c>
      <c r="ES29" s="65">
        <f t="shared" si="115"/>
        <v>13</v>
      </c>
      <c r="ET29" s="13">
        <f t="shared" si="32"/>
        <v>1603280.0732115626</v>
      </c>
      <c r="EU29" s="14">
        <v>43046</v>
      </c>
      <c r="EW29" s="65"/>
      <c r="EX29" s="13"/>
      <c r="EY29" s="14"/>
      <c r="FA29" s="65">
        <f t="shared" si="117"/>
        <v>55</v>
      </c>
      <c r="FB29" s="13">
        <f t="shared" si="34"/>
        <v>1259067.5345449795</v>
      </c>
      <c r="FC29" s="14">
        <v>43053</v>
      </c>
      <c r="FE29" s="65">
        <f t="shared" si="118"/>
        <v>50</v>
      </c>
      <c r="FF29" s="13">
        <f t="shared" si="35"/>
        <v>3151864.3219151697</v>
      </c>
      <c r="FG29" s="14">
        <v>43053</v>
      </c>
      <c r="FI29" s="65">
        <f t="shared" si="119"/>
        <v>47</v>
      </c>
      <c r="FJ29" s="13">
        <f t="shared" si="36"/>
        <v>1740583.1108382088</v>
      </c>
      <c r="FK29" s="14">
        <v>43055</v>
      </c>
      <c r="FM29" s="65">
        <f t="shared" si="120"/>
        <v>13</v>
      </c>
      <c r="FN29" s="13">
        <f t="shared" si="37"/>
        <v>1140968.2712732528</v>
      </c>
      <c r="FO29" s="14">
        <v>43060</v>
      </c>
      <c r="FQ29" s="65">
        <f t="shared" si="121"/>
        <v>9</v>
      </c>
      <c r="FR29" s="13">
        <f t="shared" si="38"/>
        <v>1410400.2113022204</v>
      </c>
      <c r="FS29" s="14">
        <v>43060</v>
      </c>
      <c r="FU29" s="65">
        <f t="shared" si="122"/>
        <v>22</v>
      </c>
      <c r="FV29" s="13">
        <f t="shared" si="39"/>
        <v>1904595.8274163413</v>
      </c>
      <c r="FW29" s="14">
        <v>43062</v>
      </c>
      <c r="FY29" s="65">
        <f t="shared" si="123"/>
        <v>8</v>
      </c>
      <c r="FZ29" s="13">
        <f t="shared" si="40"/>
        <v>3946108.6892360975</v>
      </c>
      <c r="GA29" s="14">
        <v>43062</v>
      </c>
      <c r="GC29" s="65">
        <f t="shared" si="124"/>
        <v>12</v>
      </c>
      <c r="GD29" s="13">
        <f t="shared" si="41"/>
        <v>867896.29301066801</v>
      </c>
      <c r="GE29" s="14">
        <v>43063</v>
      </c>
      <c r="GG29" s="65">
        <f t="shared" si="125"/>
        <v>8</v>
      </c>
      <c r="GH29" s="13">
        <f t="shared" si="42"/>
        <v>2841100.8372605243</v>
      </c>
      <c r="GI29" s="14">
        <v>43067</v>
      </c>
      <c r="GK29" s="65"/>
      <c r="GL29" s="13"/>
      <c r="GM29" s="14"/>
      <c r="GO29" s="65">
        <f t="shared" si="127"/>
        <v>9</v>
      </c>
      <c r="GP29" s="13">
        <f t="shared" si="44"/>
        <v>1258121.7713780103</v>
      </c>
      <c r="GQ29" s="14">
        <v>43087</v>
      </c>
      <c r="GS29" s="65">
        <f t="shared" si="128"/>
        <v>14</v>
      </c>
      <c r="GT29" s="13">
        <f t="shared" si="45"/>
        <v>1548854.8274197932</v>
      </c>
      <c r="GU29" s="14">
        <v>43090</v>
      </c>
      <c r="GW29" s="65">
        <f t="shared" si="129"/>
        <v>14</v>
      </c>
      <c r="GX29" s="13">
        <f t="shared" si="46"/>
        <v>922702.96260992449</v>
      </c>
      <c r="GY29" s="14">
        <v>43091</v>
      </c>
      <c r="HA29" s="65">
        <f t="shared" si="130"/>
        <v>14</v>
      </c>
      <c r="HB29" s="13">
        <f t="shared" si="47"/>
        <v>1537909.9447731124</v>
      </c>
      <c r="HC29" s="14">
        <v>43091</v>
      </c>
      <c r="HE29" s="65">
        <f t="shared" si="131"/>
        <v>9</v>
      </c>
      <c r="HF29" s="13">
        <f t="shared" si="48"/>
        <v>1102072.6462646509</v>
      </c>
      <c r="HG29" s="14">
        <v>43095</v>
      </c>
      <c r="HI29" s="65"/>
      <c r="HJ29" s="13"/>
      <c r="HK29" s="14"/>
      <c r="HM29" s="65"/>
      <c r="HN29" s="13"/>
      <c r="HO29" s="14"/>
      <c r="HQ29" s="65">
        <f t="shared" si="134"/>
        <v>11</v>
      </c>
      <c r="HR29" s="13">
        <f t="shared" si="51"/>
        <v>3046088.6405245522</v>
      </c>
      <c r="HS29" s="14">
        <v>43097</v>
      </c>
      <c r="HU29" s="65"/>
      <c r="HV29" s="13"/>
      <c r="HW29" s="14"/>
      <c r="HY29" s="65"/>
      <c r="HZ29" s="13"/>
      <c r="IA29" s="14"/>
      <c r="IC29" s="65"/>
      <c r="ID29" s="13"/>
      <c r="IE29" s="14"/>
      <c r="IG29" s="65">
        <f t="shared" si="138"/>
        <v>12</v>
      </c>
      <c r="IH29" s="13">
        <f t="shared" si="55"/>
        <v>1284888.7487412591</v>
      </c>
      <c r="II29" s="14">
        <v>43112</v>
      </c>
      <c r="IK29" s="65">
        <f t="shared" si="139"/>
        <v>20</v>
      </c>
      <c r="IL29" s="13">
        <f t="shared" si="56"/>
        <v>2582663.5261878134</v>
      </c>
      <c r="IM29" s="14">
        <v>43116</v>
      </c>
      <c r="IO29" s="65">
        <f t="shared" si="140"/>
        <v>12</v>
      </c>
      <c r="IP29" s="13">
        <f t="shared" si="57"/>
        <v>1135228.411416084</v>
      </c>
      <c r="IQ29" s="14">
        <v>43117</v>
      </c>
      <c r="IS29" s="65">
        <f t="shared" si="141"/>
        <v>9</v>
      </c>
      <c r="IT29" s="13">
        <f t="shared" si="58"/>
        <v>1489677.0606623015</v>
      </c>
      <c r="IU29" s="14">
        <v>43123</v>
      </c>
      <c r="IW29" s="65">
        <f t="shared" si="142"/>
        <v>13</v>
      </c>
      <c r="IX29" s="13">
        <f t="shared" si="59"/>
        <v>1645304.3897685779</v>
      </c>
      <c r="IY29" s="14">
        <v>43123</v>
      </c>
      <c r="JA29" s="65">
        <f t="shared" si="143"/>
        <v>37</v>
      </c>
      <c r="JB29" s="13">
        <f t="shared" si="60"/>
        <v>986816.27179221355</v>
      </c>
      <c r="JC29" s="14">
        <v>43129</v>
      </c>
      <c r="JE29" s="65">
        <f t="shared" si="144"/>
        <v>20</v>
      </c>
      <c r="JF29" s="13">
        <f t="shared" si="61"/>
        <v>1482086.8039518099</v>
      </c>
      <c r="JG29" s="14">
        <v>43140</v>
      </c>
      <c r="JI29" s="65"/>
      <c r="JJ29" s="13"/>
      <c r="JK29" s="14"/>
      <c r="JM29" s="65">
        <f t="shared" si="146"/>
        <v>8</v>
      </c>
      <c r="JN29" s="13">
        <f t="shared" si="63"/>
        <v>993200.70981758612</v>
      </c>
      <c r="JO29" s="14">
        <v>43145</v>
      </c>
      <c r="JQ29" s="65">
        <f t="shared" si="147"/>
        <v>14</v>
      </c>
      <c r="JR29" s="13">
        <f t="shared" si="64"/>
        <v>1500307.7428342614</v>
      </c>
      <c r="JS29" s="14">
        <v>43146</v>
      </c>
      <c r="JU29" s="65">
        <f t="shared" si="148"/>
        <v>42</v>
      </c>
      <c r="JV29" s="13">
        <f t="shared" si="65"/>
        <v>1651182.4144148526</v>
      </c>
      <c r="JW29" s="14">
        <v>43151</v>
      </c>
      <c r="JY29" s="65">
        <f t="shared" si="149"/>
        <v>20</v>
      </c>
      <c r="JZ29" s="13">
        <f t="shared" si="66"/>
        <v>1482086.8039518099</v>
      </c>
      <c r="KA29" s="14">
        <v>43140</v>
      </c>
      <c r="KC29" s="65"/>
      <c r="KD29" s="13"/>
      <c r="KE29" s="14"/>
      <c r="KG29" s="65">
        <f t="shared" si="151"/>
        <v>8</v>
      </c>
      <c r="KH29" s="13">
        <f t="shared" si="68"/>
        <v>993200.70981758612</v>
      </c>
      <c r="KI29" s="14">
        <v>43145</v>
      </c>
      <c r="KK29" s="65">
        <f t="shared" si="152"/>
        <v>14</v>
      </c>
      <c r="KL29" s="13">
        <f t="shared" si="69"/>
        <v>1500307.7428342614</v>
      </c>
      <c r="KM29" s="14">
        <v>43146</v>
      </c>
      <c r="KO29" s="65">
        <f t="shared" si="153"/>
        <v>3</v>
      </c>
      <c r="KP29" s="13">
        <f t="shared" si="70"/>
        <v>3316101.3217519033</v>
      </c>
      <c r="KQ29" s="14">
        <v>43189</v>
      </c>
      <c r="KS29" s="65">
        <f t="shared" si="154"/>
        <v>30</v>
      </c>
      <c r="KT29" s="13">
        <f t="shared" si="71"/>
        <v>3306096.6365811704</v>
      </c>
      <c r="KU29" s="14">
        <v>43192</v>
      </c>
      <c r="KW29" s="65">
        <f t="shared" si="155"/>
        <v>21</v>
      </c>
      <c r="KX29" s="13">
        <f t="shared" si="72"/>
        <v>2987630.1916678254</v>
      </c>
      <c r="KY29" s="14">
        <v>43194</v>
      </c>
      <c r="LA29" s="65">
        <f t="shared" si="156"/>
        <v>58</v>
      </c>
      <c r="LB29" s="13">
        <f t="shared" si="73"/>
        <v>2630746.2128188983</v>
      </c>
      <c r="LC29" s="14">
        <v>43206</v>
      </c>
      <c r="LE29" s="65"/>
      <c r="LF29" s="13"/>
      <c r="LG29" s="14"/>
      <c r="LI29" s="65">
        <f t="shared" si="158"/>
        <v>18</v>
      </c>
      <c r="LJ29" s="13">
        <f t="shared" si="75"/>
        <v>2484061.4080827399</v>
      </c>
      <c r="LK29" s="14">
        <v>43213</v>
      </c>
      <c r="LM29" s="65">
        <f t="shared" si="159"/>
        <v>46</v>
      </c>
      <c r="LN29" s="13">
        <f t="shared" si="76"/>
        <v>743732.73986557347</v>
      </c>
      <c r="LO29" s="14">
        <v>43216</v>
      </c>
      <c r="LQ29" s="65">
        <f t="shared" si="160"/>
        <v>15</v>
      </c>
      <c r="LR29" s="13">
        <f t="shared" si="77"/>
        <v>2775801.2301629027</v>
      </c>
      <c r="LS29" s="14">
        <v>43229</v>
      </c>
      <c r="LU29" s="65"/>
      <c r="LV29" s="13"/>
      <c r="LW29" s="14"/>
      <c r="LY29" s="65">
        <f t="shared" si="162"/>
        <v>18</v>
      </c>
      <c r="LZ29" s="13">
        <f t="shared" si="79"/>
        <v>975799.39528568741</v>
      </c>
      <c r="MA29" s="14">
        <v>43241</v>
      </c>
      <c r="MC29" s="65">
        <f t="shared" si="163"/>
        <v>13</v>
      </c>
      <c r="MD29" s="13">
        <f t="shared" si="80"/>
        <v>2865083.0878680674</v>
      </c>
      <c r="ME29" s="14">
        <v>43243</v>
      </c>
      <c r="MG29" s="65">
        <f t="shared" si="164"/>
        <v>8</v>
      </c>
      <c r="MH29" s="13">
        <f t="shared" si="81"/>
        <v>1773117.7629432785</v>
      </c>
      <c r="MI29" s="14">
        <v>43244</v>
      </c>
      <c r="MK29" s="65">
        <f t="shared" si="165"/>
        <v>2</v>
      </c>
      <c r="ML29" s="13">
        <f t="shared" si="82"/>
        <v>1583251.5002127886</v>
      </c>
      <c r="MM29" s="14">
        <v>43250</v>
      </c>
      <c r="MO29" s="65"/>
      <c r="MP29" s="13"/>
      <c r="MQ29" s="14"/>
      <c r="MS29" s="65">
        <f t="shared" si="167"/>
        <v>0</v>
      </c>
      <c r="MT29" s="13">
        <f t="shared" si="84"/>
        <v>1442307.6901967002</v>
      </c>
      <c r="MU29" s="14">
        <v>43255</v>
      </c>
    </row>
    <row r="30" spans="1:359" x14ac:dyDescent="0.25">
      <c r="A30" s="15">
        <f t="shared" si="1"/>
        <v>731927.74783314113</v>
      </c>
      <c r="B30" s="20">
        <v>42724</v>
      </c>
      <c r="D30" s="12">
        <v>146</v>
      </c>
      <c r="E30" s="17">
        <v>1140191.2631263596</v>
      </c>
      <c r="F30" s="14">
        <v>42454</v>
      </c>
      <c r="I30" s="12">
        <v>11</v>
      </c>
      <c r="J30" s="17">
        <v>1191933.6604687972</v>
      </c>
      <c r="K30" s="14">
        <v>42496</v>
      </c>
      <c r="N30" s="12">
        <f t="shared" si="85"/>
        <v>76</v>
      </c>
      <c r="O30" s="13">
        <f t="shared" si="2"/>
        <v>731927.74783314113</v>
      </c>
      <c r="P30" s="14">
        <v>42724</v>
      </c>
      <c r="T30" s="15">
        <f t="shared" si="3"/>
        <v>1535418.8816281615</v>
      </c>
      <c r="U30" s="20">
        <v>42973</v>
      </c>
      <c r="W30" s="12">
        <v>146</v>
      </c>
      <c r="X30" s="17">
        <v>1140191.2631263596</v>
      </c>
      <c r="Y30" s="14">
        <v>42454</v>
      </c>
      <c r="AB30" s="12">
        <v>11</v>
      </c>
      <c r="AC30" s="17">
        <v>1191933.6604687972</v>
      </c>
      <c r="AD30" s="14">
        <v>42496</v>
      </c>
      <c r="AG30" s="12">
        <f t="shared" si="86"/>
        <v>11</v>
      </c>
      <c r="AH30" s="13">
        <f t="shared" si="0"/>
        <v>1535418.8816281615</v>
      </c>
      <c r="AI30" s="14">
        <v>42973</v>
      </c>
      <c r="AK30" s="12">
        <f t="shared" si="87"/>
        <v>18</v>
      </c>
      <c r="AL30" s="13">
        <f t="shared" si="4"/>
        <v>1387508.5645011975</v>
      </c>
      <c r="AM30" s="14">
        <v>42980</v>
      </c>
      <c r="AO30" s="12">
        <f t="shared" si="88"/>
        <v>16</v>
      </c>
      <c r="AP30" s="13">
        <f t="shared" si="5"/>
        <v>3653507.318905097</v>
      </c>
      <c r="AQ30" s="14">
        <v>42983</v>
      </c>
      <c r="AS30" s="12">
        <f t="shared" si="89"/>
        <v>6</v>
      </c>
      <c r="AT30" s="13">
        <f t="shared" si="6"/>
        <v>1234427.8523131518</v>
      </c>
      <c r="AU30" s="14">
        <v>42983</v>
      </c>
      <c r="AW30" s="65">
        <f t="shared" si="90"/>
        <v>8</v>
      </c>
      <c r="AX30" s="13">
        <f t="shared" si="7"/>
        <v>697410.42421599303</v>
      </c>
      <c r="AY30" s="14">
        <v>42985</v>
      </c>
      <c r="BA30" s="65">
        <f t="shared" si="91"/>
        <v>5</v>
      </c>
      <c r="BB30" s="13">
        <f t="shared" si="8"/>
        <v>618167.51312874001</v>
      </c>
      <c r="BC30" s="14">
        <v>42985</v>
      </c>
      <c r="BE30" s="65">
        <f t="shared" si="92"/>
        <v>12</v>
      </c>
      <c r="BF30" s="13">
        <f t="shared" si="9"/>
        <v>1393633.1111619973</v>
      </c>
      <c r="BG30" s="14">
        <v>42986</v>
      </c>
      <c r="BI30" s="65">
        <f t="shared" si="93"/>
        <v>1</v>
      </c>
      <c r="BJ30" s="13">
        <f t="shared" si="10"/>
        <v>2491109.5819146959</v>
      </c>
      <c r="BK30" s="14">
        <v>42990</v>
      </c>
      <c r="BM30" s="65">
        <f t="shared" si="94"/>
        <v>30</v>
      </c>
      <c r="BN30" s="13">
        <f t="shared" si="11"/>
        <v>1864234.4496302609</v>
      </c>
      <c r="BO30" s="14">
        <v>42990</v>
      </c>
      <c r="BQ30" s="65">
        <f t="shared" si="95"/>
        <v>35</v>
      </c>
      <c r="BR30" s="13">
        <f t="shared" si="12"/>
        <v>4292296.1250771517</v>
      </c>
      <c r="BS30" s="14">
        <v>42997</v>
      </c>
      <c r="BU30" s="65">
        <f t="shared" si="96"/>
        <v>4</v>
      </c>
      <c r="BV30" s="13">
        <f t="shared" si="13"/>
        <v>1611462.8560985008</v>
      </c>
      <c r="BW30" s="14">
        <v>43006</v>
      </c>
      <c r="BY30" s="65">
        <f t="shared" si="97"/>
        <v>4</v>
      </c>
      <c r="BZ30" s="13">
        <f t="shared" si="14"/>
        <v>1611462.8560985008</v>
      </c>
      <c r="CA30" s="14">
        <v>43006</v>
      </c>
      <c r="CC30" s="65">
        <f t="shared" si="98"/>
        <v>12</v>
      </c>
      <c r="CD30" s="13">
        <f t="shared" si="15"/>
        <v>1623528.4925030533</v>
      </c>
      <c r="CE30" s="14">
        <v>43007</v>
      </c>
      <c r="CG30" s="65">
        <f t="shared" si="99"/>
        <v>20</v>
      </c>
      <c r="CH30" s="13">
        <f t="shared" si="16"/>
        <v>973559.9610467602</v>
      </c>
      <c r="CI30" s="14">
        <v>43007</v>
      </c>
      <c r="CK30" s="65">
        <f t="shared" si="100"/>
        <v>44</v>
      </c>
      <c r="CL30" s="13">
        <f t="shared" si="17"/>
        <v>800815.35808107478</v>
      </c>
      <c r="CM30" s="14">
        <v>43011</v>
      </c>
      <c r="CO30" s="65">
        <f t="shared" si="101"/>
        <v>1</v>
      </c>
      <c r="CP30" s="13">
        <f t="shared" si="18"/>
        <v>1835551.7891719097</v>
      </c>
      <c r="CQ30" s="14">
        <v>43013</v>
      </c>
      <c r="CS30" s="65"/>
      <c r="CT30" s="13"/>
      <c r="CU30" s="14"/>
      <c r="CW30" s="65">
        <f t="shared" si="103"/>
        <v>26</v>
      </c>
      <c r="CX30" s="13">
        <f t="shared" si="20"/>
        <v>2547614.4183664517</v>
      </c>
      <c r="CY30" s="14">
        <v>43015</v>
      </c>
      <c r="DA30" s="65">
        <f t="shared" si="104"/>
        <v>6</v>
      </c>
      <c r="DB30" s="13">
        <f t="shared" si="21"/>
        <v>2812788.241437837</v>
      </c>
      <c r="DC30" s="14">
        <v>43020</v>
      </c>
      <c r="DE30" s="65">
        <f t="shared" si="105"/>
        <v>25</v>
      </c>
      <c r="DF30" s="13">
        <f t="shared" si="22"/>
        <v>3199644.1508930135</v>
      </c>
      <c r="DG30" s="14">
        <v>43021</v>
      </c>
      <c r="DI30" s="65"/>
      <c r="DJ30" s="13"/>
      <c r="DK30" s="14"/>
      <c r="DM30" s="65"/>
      <c r="DN30" s="13"/>
      <c r="DO30" s="14"/>
      <c r="DQ30" s="65"/>
      <c r="DR30" s="13"/>
      <c r="DS30" s="14"/>
      <c r="DU30" s="65">
        <f t="shared" si="109"/>
        <v>70</v>
      </c>
      <c r="DV30" s="13">
        <f t="shared" si="26"/>
        <v>2330567.3097139327</v>
      </c>
      <c r="DW30" s="14">
        <v>43032</v>
      </c>
      <c r="DY30" s="65">
        <f t="shared" si="110"/>
        <v>81</v>
      </c>
      <c r="DZ30" s="13">
        <f t="shared" si="27"/>
        <v>792110.90677477384</v>
      </c>
      <c r="EA30" s="14">
        <v>43035</v>
      </c>
      <c r="EC30" s="65">
        <f t="shared" si="111"/>
        <v>6</v>
      </c>
      <c r="ED30" s="13">
        <f t="shared" si="28"/>
        <v>1261701.0164974569</v>
      </c>
      <c r="EE30" s="14">
        <v>43036</v>
      </c>
      <c r="EG30" s="65">
        <f t="shared" si="112"/>
        <v>14</v>
      </c>
      <c r="EH30" s="13">
        <f t="shared" si="29"/>
        <v>1592578.3056822922</v>
      </c>
      <c r="EI30" s="14">
        <v>43041</v>
      </c>
      <c r="EK30" s="65"/>
      <c r="EL30" s="13"/>
      <c r="EM30" s="14"/>
      <c r="EO30" s="65">
        <f t="shared" si="114"/>
        <v>55</v>
      </c>
      <c r="EP30" s="13">
        <f t="shared" si="31"/>
        <v>1279568.531196259</v>
      </c>
      <c r="EQ30" s="14">
        <v>43047</v>
      </c>
      <c r="ES30" s="65">
        <f t="shared" si="115"/>
        <v>12</v>
      </c>
      <c r="ET30" s="13">
        <f t="shared" si="32"/>
        <v>1603373.277653144</v>
      </c>
      <c r="EU30" s="14">
        <v>43047</v>
      </c>
      <c r="EW30" s="65"/>
      <c r="EX30" s="13"/>
      <c r="EY30" s="14"/>
      <c r="FA30" s="65">
        <f t="shared" si="117"/>
        <v>54</v>
      </c>
      <c r="FB30" s="13">
        <f t="shared" si="34"/>
        <v>1259142.5090435743</v>
      </c>
      <c r="FC30" s="14">
        <v>43054</v>
      </c>
      <c r="FE30" s="65">
        <f t="shared" si="118"/>
        <v>49</v>
      </c>
      <c r="FF30" s="13">
        <f t="shared" si="35"/>
        <v>3152040.6726239054</v>
      </c>
      <c r="FG30" s="14">
        <v>43054</v>
      </c>
      <c r="FI30" s="65">
        <f t="shared" si="119"/>
        <v>46</v>
      </c>
      <c r="FJ30" s="13">
        <f t="shared" si="36"/>
        <v>1740689.3079945084</v>
      </c>
      <c r="FK30" s="14">
        <v>43056</v>
      </c>
      <c r="FM30" s="65">
        <f t="shared" si="120"/>
        <v>12</v>
      </c>
      <c r="FN30" s="13">
        <f t="shared" si="37"/>
        <v>1141036.0526624091</v>
      </c>
      <c r="FO30" s="14">
        <v>43061</v>
      </c>
      <c r="FQ30" s="65">
        <f t="shared" si="121"/>
        <v>8</v>
      </c>
      <c r="FR30" s="13">
        <f t="shared" si="38"/>
        <v>1410482.9164936321</v>
      </c>
      <c r="FS30" s="14">
        <v>43061</v>
      </c>
      <c r="FU30" s="65">
        <f t="shared" si="122"/>
        <v>21</v>
      </c>
      <c r="FV30" s="13">
        <f t="shared" si="39"/>
        <v>1904708.6574867782</v>
      </c>
      <c r="FW30" s="14">
        <v>43063</v>
      </c>
      <c r="FY30" s="65">
        <f t="shared" si="123"/>
        <v>7</v>
      </c>
      <c r="FZ30" s="13">
        <f t="shared" si="40"/>
        <v>3946331.0001068292</v>
      </c>
      <c r="GA30" s="14">
        <v>43063</v>
      </c>
      <c r="GC30" s="65">
        <f t="shared" si="124"/>
        <v>11</v>
      </c>
      <c r="GD30" s="13">
        <f t="shared" si="41"/>
        <v>867944.94450815173</v>
      </c>
      <c r="GE30" s="14">
        <v>43064</v>
      </c>
      <c r="GG30" s="65">
        <f t="shared" si="125"/>
        <v>7</v>
      </c>
      <c r="GH30" s="13">
        <f t="shared" si="42"/>
        <v>2841256.2506025149</v>
      </c>
      <c r="GI30" s="14">
        <v>43068</v>
      </c>
      <c r="GK30" s="65"/>
      <c r="GL30" s="13"/>
      <c r="GM30" s="14"/>
      <c r="GO30" s="65">
        <f t="shared" si="127"/>
        <v>8</v>
      </c>
      <c r="GP30" s="13">
        <f t="shared" si="44"/>
        <v>1258224.7752083372</v>
      </c>
      <c r="GQ30" s="14">
        <v>43088</v>
      </c>
      <c r="GS30" s="65">
        <f t="shared" si="128"/>
        <v>13</v>
      </c>
      <c r="GT30" s="13">
        <f t="shared" si="45"/>
        <v>1548979.6343489662</v>
      </c>
      <c r="GU30" s="14">
        <v>43091</v>
      </c>
      <c r="GW30" s="65">
        <f t="shared" si="129"/>
        <v>13</v>
      </c>
      <c r="GX30" s="13">
        <f t="shared" si="46"/>
        <v>922774.26517615595</v>
      </c>
      <c r="GY30" s="14">
        <v>43092</v>
      </c>
      <c r="HA30" s="65">
        <f t="shared" si="130"/>
        <v>13</v>
      </c>
      <c r="HB30" s="13">
        <f t="shared" si="47"/>
        <v>1538023.6721020201</v>
      </c>
      <c r="HC30" s="14">
        <v>43092</v>
      </c>
      <c r="HE30" s="65">
        <f t="shared" si="131"/>
        <v>8</v>
      </c>
      <c r="HF30" s="13">
        <f t="shared" si="48"/>
        <v>1102155.9601339281</v>
      </c>
      <c r="HG30" s="14">
        <v>43096</v>
      </c>
      <c r="HI30" s="65"/>
      <c r="HJ30" s="13"/>
      <c r="HK30" s="14"/>
      <c r="HM30" s="65"/>
      <c r="HN30" s="13"/>
      <c r="HO30" s="14"/>
      <c r="HQ30" s="65">
        <f t="shared" si="134"/>
        <v>10</v>
      </c>
      <c r="HR30" s="13">
        <f t="shared" si="51"/>
        <v>3046362.6856935644</v>
      </c>
      <c r="HS30" s="14">
        <v>43098</v>
      </c>
      <c r="HU30" s="65"/>
      <c r="HV30" s="13"/>
      <c r="HW30" s="14"/>
      <c r="HY30" s="65"/>
      <c r="HZ30" s="13"/>
      <c r="IA30" s="14"/>
      <c r="IC30" s="65"/>
      <c r="ID30" s="13"/>
      <c r="IE30" s="14"/>
      <c r="IG30" s="65">
        <f t="shared" si="138"/>
        <v>11</v>
      </c>
      <c r="IH30" s="13">
        <f t="shared" si="55"/>
        <v>1284995.7247423197</v>
      </c>
      <c r="II30" s="14">
        <v>43113</v>
      </c>
      <c r="IK30" s="65">
        <f t="shared" si="139"/>
        <v>19</v>
      </c>
      <c r="IL30" s="13">
        <f t="shared" si="56"/>
        <v>2582881.464137326</v>
      </c>
      <c r="IM30" s="14">
        <v>43117</v>
      </c>
      <c r="IO30" s="65">
        <f t="shared" si="140"/>
        <v>11</v>
      </c>
      <c r="IP30" s="13">
        <f t="shared" si="57"/>
        <v>1135322.9271442846</v>
      </c>
      <c r="IQ30" s="14">
        <v>43118</v>
      </c>
      <c r="IS30" s="65">
        <f t="shared" si="141"/>
        <v>8</v>
      </c>
      <c r="IT30" s="13">
        <f t="shared" si="58"/>
        <v>1489770.7993302091</v>
      </c>
      <c r="IU30" s="14">
        <v>43124</v>
      </c>
      <c r="IW30" s="65">
        <f t="shared" si="142"/>
        <v>12</v>
      </c>
      <c r="IX30" s="13">
        <f t="shared" si="59"/>
        <v>1645406.4865666535</v>
      </c>
      <c r="IY30" s="14">
        <v>43124</v>
      </c>
      <c r="JA30" s="65">
        <f t="shared" si="143"/>
        <v>36</v>
      </c>
      <c r="JB30" s="13">
        <f t="shared" si="60"/>
        <v>986868.73364040081</v>
      </c>
      <c r="JC30" s="14">
        <v>43130</v>
      </c>
      <c r="JE30" s="65">
        <f t="shared" si="144"/>
        <v>19</v>
      </c>
      <c r="JF30" s="13">
        <f t="shared" si="61"/>
        <v>1482162.69763788</v>
      </c>
      <c r="JG30" s="14">
        <v>43141</v>
      </c>
      <c r="JI30" s="65"/>
      <c r="JJ30" s="13"/>
      <c r="JK30" s="14"/>
      <c r="JM30" s="65">
        <f t="shared" si="146"/>
        <v>7</v>
      </c>
      <c r="JN30" s="13">
        <f t="shared" si="63"/>
        <v>993253.63177421154</v>
      </c>
      <c r="JO30" s="14">
        <v>43146</v>
      </c>
      <c r="JQ30" s="65">
        <f t="shared" si="147"/>
        <v>13</v>
      </c>
      <c r="JR30" s="13">
        <f t="shared" si="64"/>
        <v>1500394.7347488343</v>
      </c>
      <c r="JS30" s="14">
        <v>43147</v>
      </c>
      <c r="JU30" s="65">
        <f t="shared" si="148"/>
        <v>41</v>
      </c>
      <c r="JV30" s="13">
        <f t="shared" si="65"/>
        <v>1651284.764962492</v>
      </c>
      <c r="JW30" s="14">
        <v>43152</v>
      </c>
      <c r="JY30" s="65">
        <f t="shared" si="149"/>
        <v>19</v>
      </c>
      <c r="JZ30" s="13">
        <f t="shared" si="66"/>
        <v>1482162.69763788</v>
      </c>
      <c r="KA30" s="14">
        <v>43141</v>
      </c>
      <c r="KC30" s="65"/>
      <c r="KD30" s="13"/>
      <c r="KE30" s="14"/>
      <c r="KG30" s="65">
        <f t="shared" si="151"/>
        <v>7</v>
      </c>
      <c r="KH30" s="13">
        <f t="shared" si="68"/>
        <v>993253.63177421154</v>
      </c>
      <c r="KI30" s="14">
        <v>43146</v>
      </c>
      <c r="KK30" s="65">
        <f t="shared" si="152"/>
        <v>13</v>
      </c>
      <c r="KL30" s="13">
        <f t="shared" si="69"/>
        <v>1500394.7347488343</v>
      </c>
      <c r="KM30" s="14">
        <v>43147</v>
      </c>
      <c r="KO30" s="65">
        <f t="shared" si="153"/>
        <v>2</v>
      </c>
      <c r="KP30" s="13">
        <f t="shared" si="70"/>
        <v>3316335.7109846016</v>
      </c>
      <c r="KQ30" s="14">
        <v>43190</v>
      </c>
      <c r="KS30" s="65">
        <f t="shared" si="154"/>
        <v>29</v>
      </c>
      <c r="KT30" s="13">
        <f t="shared" si="71"/>
        <v>3306308.5142506766</v>
      </c>
      <c r="KU30" s="14">
        <v>43193</v>
      </c>
      <c r="KW30" s="65">
        <f t="shared" si="155"/>
        <v>20</v>
      </c>
      <c r="KX30" s="13">
        <f t="shared" si="72"/>
        <v>2987815.3820400042</v>
      </c>
      <c r="KY30" s="14">
        <v>43195</v>
      </c>
      <c r="LA30" s="65">
        <f t="shared" si="156"/>
        <v>57</v>
      </c>
      <c r="LB30" s="13">
        <f t="shared" si="73"/>
        <v>2630947.0258091143</v>
      </c>
      <c r="LC30" s="14">
        <v>43207</v>
      </c>
      <c r="LE30" s="65"/>
      <c r="LF30" s="13"/>
      <c r="LG30" s="14"/>
      <c r="LI30" s="65">
        <f t="shared" si="158"/>
        <v>17</v>
      </c>
      <c r="LJ30" s="13">
        <f t="shared" si="75"/>
        <v>2484232.7800780507</v>
      </c>
      <c r="LK30" s="14">
        <v>43214</v>
      </c>
      <c r="LM30" s="65">
        <f t="shared" si="159"/>
        <v>45</v>
      </c>
      <c r="LN30" s="13">
        <f t="shared" si="76"/>
        <v>743785.81448293559</v>
      </c>
      <c r="LO30" s="14">
        <v>43217</v>
      </c>
      <c r="LQ30" s="65">
        <f t="shared" si="160"/>
        <v>14</v>
      </c>
      <c r="LR30" s="13">
        <f t="shared" si="77"/>
        <v>2775979.6153518865</v>
      </c>
      <c r="LS30" s="14">
        <v>43230</v>
      </c>
      <c r="LU30" s="65"/>
      <c r="LV30" s="13"/>
      <c r="LW30" s="14"/>
      <c r="LY30" s="65">
        <f t="shared" si="162"/>
        <v>17</v>
      </c>
      <c r="LZ30" s="13">
        <f t="shared" si="79"/>
        <v>975865.56601254968</v>
      </c>
      <c r="MA30" s="14">
        <v>43242</v>
      </c>
      <c r="MC30" s="65">
        <f t="shared" si="163"/>
        <v>12</v>
      </c>
      <c r="MD30" s="13">
        <f t="shared" si="80"/>
        <v>2865265.7679456458</v>
      </c>
      <c r="ME30" s="14">
        <v>43244</v>
      </c>
      <c r="MG30" s="65">
        <f t="shared" si="164"/>
        <v>7</v>
      </c>
      <c r="MH30" s="13">
        <f t="shared" si="81"/>
        <v>1773237.8718097529</v>
      </c>
      <c r="MI30" s="14">
        <v>43245</v>
      </c>
      <c r="MK30" s="65">
        <f t="shared" si="165"/>
        <v>1</v>
      </c>
      <c r="ML30" s="13">
        <f t="shared" si="82"/>
        <v>1583353.7686803569</v>
      </c>
      <c r="MM30" s="14">
        <v>43251</v>
      </c>
      <c r="MO30" s="65"/>
      <c r="MP30" s="13"/>
      <c r="MQ30" s="14"/>
      <c r="MS30" s="65"/>
      <c r="MT30" s="13"/>
      <c r="MU30" s="14"/>
    </row>
    <row r="31" spans="1:359" x14ac:dyDescent="0.25">
      <c r="A31" s="15">
        <f t="shared" si="1"/>
        <v>731957.03785037145</v>
      </c>
      <c r="B31" s="20">
        <v>42725</v>
      </c>
      <c r="D31" s="12">
        <v>145</v>
      </c>
      <c r="E31" s="17">
        <v>1140218.3849877254</v>
      </c>
      <c r="F31" s="14">
        <v>42455</v>
      </c>
      <c r="I31" s="12">
        <v>10</v>
      </c>
      <c r="J31" s="17">
        <v>1191947.91505464</v>
      </c>
      <c r="K31" s="14">
        <v>42497</v>
      </c>
      <c r="N31" s="12">
        <f t="shared" si="85"/>
        <v>75</v>
      </c>
      <c r="O31" s="13">
        <f t="shared" si="2"/>
        <v>731957.03785037145</v>
      </c>
      <c r="P31" s="14">
        <v>42725</v>
      </c>
      <c r="T31" s="15">
        <f t="shared" si="3"/>
        <v>1535497.7616143643</v>
      </c>
      <c r="U31" s="20">
        <v>42974</v>
      </c>
      <c r="W31" s="12">
        <v>145</v>
      </c>
      <c r="X31" s="17">
        <v>1140218.3849877254</v>
      </c>
      <c r="Y31" s="14">
        <v>42455</v>
      </c>
      <c r="AB31" s="12">
        <v>10</v>
      </c>
      <c r="AC31" s="17">
        <v>1191947.91505464</v>
      </c>
      <c r="AD31" s="14">
        <v>42497</v>
      </c>
      <c r="AG31" s="12">
        <f t="shared" si="86"/>
        <v>10</v>
      </c>
      <c r="AH31" s="13">
        <f t="shared" si="0"/>
        <v>1535497.7616143643</v>
      </c>
      <c r="AI31" s="14">
        <v>42974</v>
      </c>
      <c r="AK31" s="12">
        <f t="shared" si="87"/>
        <v>17</v>
      </c>
      <c r="AL31" s="13">
        <f t="shared" si="4"/>
        <v>1387578.0464588613</v>
      </c>
      <c r="AM31" s="14">
        <v>42981</v>
      </c>
      <c r="AO31" s="12">
        <f t="shared" si="88"/>
        <v>15</v>
      </c>
      <c r="AP31" s="13">
        <f t="shared" si="5"/>
        <v>3653706.57029165</v>
      </c>
      <c r="AQ31" s="14">
        <v>42984</v>
      </c>
      <c r="AS31" s="12">
        <f t="shared" si="89"/>
        <v>5</v>
      </c>
      <c r="AT31" s="13">
        <f t="shared" si="6"/>
        <v>1234501.9887740428</v>
      </c>
      <c r="AU31" s="14">
        <v>42984</v>
      </c>
      <c r="AW31" s="65">
        <f t="shared" si="90"/>
        <v>7</v>
      </c>
      <c r="AX31" s="13">
        <f t="shared" si="7"/>
        <v>697447.46596645296</v>
      </c>
      <c r="AY31" s="14">
        <v>42986</v>
      </c>
      <c r="BA31" s="65">
        <f t="shared" si="91"/>
        <v>4</v>
      </c>
      <c r="BB31" s="13">
        <f t="shared" si="8"/>
        <v>618204.54331083433</v>
      </c>
      <c r="BC31" s="14">
        <v>42986</v>
      </c>
      <c r="BE31" s="65">
        <f t="shared" si="92"/>
        <v>11</v>
      </c>
      <c r="BF31" s="13">
        <f t="shared" si="9"/>
        <v>1393712.9749765249</v>
      </c>
      <c r="BG31" s="14">
        <v>42987</v>
      </c>
      <c r="BI31" s="65">
        <f t="shared" si="93"/>
        <v>0</v>
      </c>
      <c r="BJ31" s="13">
        <f>($BK$2/(1+$BK$4*BI31/360))*0</f>
        <v>0</v>
      </c>
      <c r="BK31" s="14">
        <v>42991</v>
      </c>
      <c r="BM31" s="65">
        <f t="shared" si="94"/>
        <v>29</v>
      </c>
      <c r="BN31" s="13">
        <f t="shared" si="11"/>
        <v>1864333.4895741446</v>
      </c>
      <c r="BO31" s="14">
        <v>42991</v>
      </c>
      <c r="BQ31" s="65">
        <f t="shared" si="95"/>
        <v>34</v>
      </c>
      <c r="BR31" s="13">
        <f t="shared" si="12"/>
        <v>4292595.7797773499</v>
      </c>
      <c r="BS31" s="14">
        <v>42998</v>
      </c>
      <c r="BU31" s="65">
        <f t="shared" si="96"/>
        <v>3</v>
      </c>
      <c r="BV31" s="13">
        <f t="shared" si="13"/>
        <v>1611536.9818433244</v>
      </c>
      <c r="BW31" s="14">
        <v>43007</v>
      </c>
      <c r="BY31" s="65">
        <f t="shared" si="97"/>
        <v>3</v>
      </c>
      <c r="BZ31" s="13">
        <f t="shared" si="14"/>
        <v>1611536.9818433244</v>
      </c>
      <c r="CA31" s="14">
        <v>43007</v>
      </c>
      <c r="CC31" s="65">
        <f t="shared" si="98"/>
        <v>11</v>
      </c>
      <c r="CD31" s="13">
        <f t="shared" si="15"/>
        <v>1623599.3067685091</v>
      </c>
      <c r="CE31" s="14">
        <v>43008</v>
      </c>
      <c r="CG31" s="65">
        <f t="shared" si="99"/>
        <v>19</v>
      </c>
      <c r="CH31" s="13">
        <f t="shared" si="16"/>
        <v>973602.99844422494</v>
      </c>
      <c r="CI31" s="14">
        <v>43008</v>
      </c>
      <c r="CK31" s="65">
        <f t="shared" si="100"/>
        <v>43</v>
      </c>
      <c r="CL31" s="13">
        <f t="shared" si="17"/>
        <v>800853.07015993819</v>
      </c>
      <c r="CM31" s="14">
        <v>43012</v>
      </c>
      <c r="CO31" s="65">
        <f t="shared" si="101"/>
        <v>0</v>
      </c>
      <c r="CP31" s="13">
        <f>($CQ$2/(1+$CQ$4*CO31/360))*0</f>
        <v>0</v>
      </c>
      <c r="CQ31" s="14">
        <v>43014</v>
      </c>
      <c r="CS31" s="65"/>
      <c r="CT31" s="13"/>
      <c r="CU31" s="14"/>
      <c r="CW31" s="65">
        <f t="shared" si="103"/>
        <v>25</v>
      </c>
      <c r="CX31" s="13">
        <f t="shared" si="20"/>
        <v>2547728.0861820732</v>
      </c>
      <c r="CY31" s="14">
        <v>43016</v>
      </c>
      <c r="DA31" s="65">
        <f t="shared" si="104"/>
        <v>5</v>
      </c>
      <c r="DB31" s="13">
        <f t="shared" si="21"/>
        <v>2812915.1822203752</v>
      </c>
      <c r="DC31" s="14">
        <v>43021</v>
      </c>
      <c r="DE31" s="65">
        <f t="shared" si="105"/>
        <v>24</v>
      </c>
      <c r="DF31" s="13">
        <f t="shared" si="22"/>
        <v>3199801.7192011462</v>
      </c>
      <c r="DG31" s="14">
        <v>43022</v>
      </c>
      <c r="DI31" s="65"/>
      <c r="DJ31" s="13"/>
      <c r="DK31" s="14"/>
      <c r="DM31" s="65"/>
      <c r="DN31" s="13"/>
      <c r="DO31" s="14"/>
      <c r="DQ31" s="65"/>
      <c r="DR31" s="13"/>
      <c r="DS31" s="14"/>
      <c r="DU31" s="65">
        <f t="shared" si="109"/>
        <v>69</v>
      </c>
      <c r="DV31" s="13">
        <f t="shared" si="26"/>
        <v>2330682.1597287641</v>
      </c>
      <c r="DW31" s="14">
        <v>43033</v>
      </c>
      <c r="DY31" s="65">
        <f t="shared" si="110"/>
        <v>80</v>
      </c>
      <c r="DZ31" s="13">
        <f t="shared" si="27"/>
        <v>792152.34688639618</v>
      </c>
      <c r="EA31" s="14">
        <v>43036</v>
      </c>
      <c r="EC31" s="65">
        <f t="shared" si="111"/>
        <v>5</v>
      </c>
      <c r="ED31" s="13">
        <f t="shared" si="28"/>
        <v>1261762.2546240864</v>
      </c>
      <c r="EE31" s="14">
        <v>43037</v>
      </c>
      <c r="EG31" s="65">
        <f t="shared" si="112"/>
        <v>13</v>
      </c>
      <c r="EH31" s="13">
        <f t="shared" si="29"/>
        <v>1592663.9303287766</v>
      </c>
      <c r="EI31" s="14">
        <v>43042</v>
      </c>
      <c r="EK31" s="65"/>
      <c r="EL31" s="13"/>
      <c r="EM31" s="14"/>
      <c r="EO31" s="65">
        <f t="shared" si="114"/>
        <v>54</v>
      </c>
      <c r="EP31" s="13">
        <f t="shared" si="31"/>
        <v>1279643.3581212796</v>
      </c>
      <c r="EQ31" s="14">
        <v>43048</v>
      </c>
      <c r="ES31" s="65">
        <f t="shared" si="115"/>
        <v>11</v>
      </c>
      <c r="ET31" s="13">
        <f t="shared" si="32"/>
        <v>1603466.4929319746</v>
      </c>
      <c r="EU31" s="14">
        <v>43048</v>
      </c>
      <c r="EW31" s="65"/>
      <c r="EX31" s="13"/>
      <c r="EY31" s="14"/>
      <c r="FA31" s="65">
        <f t="shared" si="117"/>
        <v>53</v>
      </c>
      <c r="FB31" s="13">
        <f t="shared" si="34"/>
        <v>1259217.4924718095</v>
      </c>
      <c r="FC31" s="14">
        <v>43055</v>
      </c>
      <c r="FE31" s="65">
        <f t="shared" si="118"/>
        <v>48</v>
      </c>
      <c r="FF31" s="13">
        <f t="shared" si="35"/>
        <v>3152217.0430678255</v>
      </c>
      <c r="FG31" s="14">
        <v>43055</v>
      </c>
      <c r="FI31" s="65">
        <f t="shared" si="119"/>
        <v>45</v>
      </c>
      <c r="FJ31" s="13">
        <f t="shared" si="36"/>
        <v>1740795.518110286</v>
      </c>
      <c r="FK31" s="14">
        <v>43057</v>
      </c>
      <c r="FM31" s="65">
        <f t="shared" si="120"/>
        <v>11</v>
      </c>
      <c r="FN31" s="13">
        <f t="shared" si="37"/>
        <v>1141103.8421054082</v>
      </c>
      <c r="FO31" s="14">
        <v>43062</v>
      </c>
      <c r="FQ31" s="65">
        <f t="shared" si="121"/>
        <v>7</v>
      </c>
      <c r="FR31" s="13">
        <f t="shared" si="38"/>
        <v>1410565.6313851979</v>
      </c>
      <c r="FS31" s="14">
        <v>43062</v>
      </c>
      <c r="FU31" s="65">
        <f t="shared" si="122"/>
        <v>20</v>
      </c>
      <c r="FV31" s="13">
        <f t="shared" si="39"/>
        <v>1904821.5009263286</v>
      </c>
      <c r="FW31" s="14">
        <v>43064</v>
      </c>
      <c r="FY31" s="65">
        <f t="shared" si="123"/>
        <v>6</v>
      </c>
      <c r="FZ31" s="13">
        <f t="shared" si="40"/>
        <v>3946553.3360275086</v>
      </c>
      <c r="GA31" s="14">
        <v>43064</v>
      </c>
      <c r="GC31" s="65">
        <f t="shared" si="124"/>
        <v>10</v>
      </c>
      <c r="GD31" s="13">
        <f t="shared" si="41"/>
        <v>867993.60146043682</v>
      </c>
      <c r="GE31" s="14">
        <v>43065</v>
      </c>
      <c r="GG31" s="65">
        <f t="shared" si="125"/>
        <v>6</v>
      </c>
      <c r="GH31" s="13">
        <f t="shared" si="42"/>
        <v>2841411.6809482165</v>
      </c>
      <c r="GI31" s="14">
        <v>43069</v>
      </c>
      <c r="GK31" s="65"/>
      <c r="GL31" s="13"/>
      <c r="GM31" s="14"/>
      <c r="GO31" s="65">
        <f t="shared" si="127"/>
        <v>7</v>
      </c>
      <c r="GP31" s="13">
        <f t="shared" si="44"/>
        <v>1258327.7959061214</v>
      </c>
      <c r="GQ31" s="14">
        <v>43089</v>
      </c>
      <c r="GS31" s="65">
        <f t="shared" si="128"/>
        <v>12</v>
      </c>
      <c r="GT31" s="13">
        <f t="shared" si="45"/>
        <v>1549104.4613936783</v>
      </c>
      <c r="GU31" s="14">
        <v>43092</v>
      </c>
      <c r="GW31" s="65">
        <f t="shared" si="129"/>
        <v>12</v>
      </c>
      <c r="GX31" s="13">
        <f t="shared" si="46"/>
        <v>922845.57876315829</v>
      </c>
      <c r="GY31" s="14">
        <v>43093</v>
      </c>
      <c r="HA31" s="65">
        <f t="shared" si="130"/>
        <v>12</v>
      </c>
      <c r="HB31" s="13">
        <f t="shared" si="47"/>
        <v>1538137.4162522787</v>
      </c>
      <c r="HC31" s="14">
        <v>43093</v>
      </c>
      <c r="HE31" s="65">
        <f t="shared" si="131"/>
        <v>7</v>
      </c>
      <c r="HF31" s="13">
        <f t="shared" si="48"/>
        <v>1102239.2866007879</v>
      </c>
      <c r="HG31" s="14">
        <v>43097</v>
      </c>
      <c r="HI31" s="65"/>
      <c r="HJ31" s="13"/>
      <c r="HK31" s="14"/>
      <c r="HM31" s="65"/>
      <c r="HN31" s="13"/>
      <c r="HO31" s="14"/>
      <c r="HQ31" s="65">
        <f t="shared" si="134"/>
        <v>9</v>
      </c>
      <c r="HR31" s="13">
        <f t="shared" si="51"/>
        <v>3046636.7801766442</v>
      </c>
      <c r="HS31" s="14">
        <v>43099</v>
      </c>
      <c r="HU31" s="65"/>
      <c r="HV31" s="13"/>
      <c r="HW31" s="14"/>
      <c r="HY31" s="65"/>
      <c r="HZ31" s="13"/>
      <c r="IA31" s="14"/>
      <c r="IC31" s="65"/>
      <c r="ID31" s="13"/>
      <c r="IE31" s="14"/>
      <c r="IG31" s="65">
        <f t="shared" si="138"/>
        <v>10</v>
      </c>
      <c r="IH31" s="13">
        <f t="shared" si="55"/>
        <v>1285102.7185578686</v>
      </c>
      <c r="II31" s="14">
        <v>43114</v>
      </c>
      <c r="IK31" s="65">
        <f t="shared" si="139"/>
        <v>18</v>
      </c>
      <c r="IL31" s="13">
        <f t="shared" si="56"/>
        <v>2583099.438871311</v>
      </c>
      <c r="IM31" s="14">
        <v>43118</v>
      </c>
      <c r="IO31" s="65">
        <f t="shared" si="140"/>
        <v>10</v>
      </c>
      <c r="IP31" s="13">
        <f t="shared" si="57"/>
        <v>1135417.4586119903</v>
      </c>
      <c r="IQ31" s="14">
        <v>43119</v>
      </c>
      <c r="IS31" s="65">
        <f t="shared" si="141"/>
        <v>7</v>
      </c>
      <c r="IT31" s="13">
        <f t="shared" si="58"/>
        <v>1489864.5497959631</v>
      </c>
      <c r="IU31" s="14">
        <v>43125</v>
      </c>
      <c r="IW31" s="65">
        <f t="shared" si="142"/>
        <v>11</v>
      </c>
      <c r="IX31" s="13">
        <f t="shared" si="59"/>
        <v>1645508.5960364307</v>
      </c>
      <c r="IY31" s="14">
        <v>43125</v>
      </c>
      <c r="JA31" s="65">
        <f t="shared" si="143"/>
        <v>35</v>
      </c>
      <c r="JB31" s="13">
        <f t="shared" si="60"/>
        <v>986921.20106691483</v>
      </c>
      <c r="JC31" s="14">
        <v>43131</v>
      </c>
      <c r="JE31" s="65">
        <f t="shared" si="144"/>
        <v>18</v>
      </c>
      <c r="JF31" s="13">
        <f t="shared" si="61"/>
        <v>1482238.599096972</v>
      </c>
      <c r="JG31" s="14">
        <v>43142</v>
      </c>
      <c r="JI31" s="65"/>
      <c r="JJ31" s="13"/>
      <c r="JK31" s="14"/>
      <c r="JM31" s="65">
        <f t="shared" si="146"/>
        <v>6</v>
      </c>
      <c r="JN31" s="13">
        <f t="shared" si="63"/>
        <v>993306.55937095114</v>
      </c>
      <c r="JO31" s="14">
        <v>43147</v>
      </c>
      <c r="JQ31" s="65">
        <f t="shared" si="147"/>
        <v>12</v>
      </c>
      <c r="JR31" s="13">
        <f t="shared" si="64"/>
        <v>1500481.7367520465</v>
      </c>
      <c r="JS31" s="14">
        <v>43148</v>
      </c>
      <c r="JU31" s="65">
        <f t="shared" si="148"/>
        <v>40</v>
      </c>
      <c r="JV31" s="13">
        <f t="shared" si="65"/>
        <v>1651387.1281995645</v>
      </c>
      <c r="JW31" s="14">
        <v>43153</v>
      </c>
      <c r="JY31" s="65">
        <f t="shared" si="149"/>
        <v>18</v>
      </c>
      <c r="JZ31" s="13">
        <f t="shared" si="66"/>
        <v>1482238.599096972</v>
      </c>
      <c r="KA31" s="14">
        <v>43142</v>
      </c>
      <c r="KC31" s="65"/>
      <c r="KD31" s="13"/>
      <c r="KE31" s="14"/>
      <c r="KG31" s="65">
        <f t="shared" si="151"/>
        <v>6</v>
      </c>
      <c r="KH31" s="13">
        <f t="shared" si="68"/>
        <v>993306.55937095114</v>
      </c>
      <c r="KI31" s="14">
        <v>43147</v>
      </c>
      <c r="KK31" s="65">
        <f t="shared" si="152"/>
        <v>12</v>
      </c>
      <c r="KL31" s="13">
        <f t="shared" si="69"/>
        <v>1500481.7367520465</v>
      </c>
      <c r="KM31" s="14">
        <v>43148</v>
      </c>
      <c r="KO31" s="65">
        <f t="shared" si="153"/>
        <v>1</v>
      </c>
      <c r="KP31" s="13">
        <f t="shared" si="70"/>
        <v>3316570.1333539207</v>
      </c>
      <c r="KQ31" s="14">
        <v>43191</v>
      </c>
      <c r="KS31" s="65">
        <f t="shared" si="154"/>
        <v>28</v>
      </c>
      <c r="KT31" s="13">
        <f t="shared" si="71"/>
        <v>3306520.4190791128</v>
      </c>
      <c r="KU31" s="14">
        <v>43194</v>
      </c>
      <c r="KW31" s="65">
        <f t="shared" si="155"/>
        <v>19</v>
      </c>
      <c r="KX31" s="13">
        <f t="shared" si="72"/>
        <v>2988000.5953719192</v>
      </c>
      <c r="KY31" s="14">
        <v>43196</v>
      </c>
      <c r="LA31" s="65">
        <f t="shared" si="156"/>
        <v>56</v>
      </c>
      <c r="LB31" s="13">
        <f t="shared" si="73"/>
        <v>2631147.8694590228</v>
      </c>
      <c r="LC31" s="14">
        <v>43208</v>
      </c>
      <c r="LE31" s="65"/>
      <c r="LF31" s="13"/>
      <c r="LG31" s="14"/>
      <c r="LI31" s="65">
        <f t="shared" si="158"/>
        <v>16</v>
      </c>
      <c r="LJ31" s="13">
        <f t="shared" si="75"/>
        <v>2484404.1757204314</v>
      </c>
      <c r="LK31" s="14">
        <v>43215</v>
      </c>
      <c r="LM31" s="65">
        <f t="shared" si="159"/>
        <v>44</v>
      </c>
      <c r="LN31" s="13">
        <f t="shared" si="76"/>
        <v>743838.8966759115</v>
      </c>
      <c r="LO31" s="14">
        <v>43218</v>
      </c>
      <c r="LQ31" s="65">
        <f t="shared" si="160"/>
        <v>13</v>
      </c>
      <c r="LR31" s="13">
        <f t="shared" si="77"/>
        <v>2776158.0234699775</v>
      </c>
      <c r="LS31" s="14">
        <v>43231</v>
      </c>
      <c r="LU31" s="65"/>
      <c r="LV31" s="13"/>
      <c r="LW31" s="14"/>
      <c r="LY31" s="65">
        <f t="shared" si="162"/>
        <v>16</v>
      </c>
      <c r="LZ31" s="13">
        <f t="shared" si="79"/>
        <v>975931.74571433465</v>
      </c>
      <c r="MA31" s="14">
        <v>43243</v>
      </c>
      <c r="MC31" s="65">
        <f t="shared" si="163"/>
        <v>11</v>
      </c>
      <c r="MD31" s="13">
        <f t="shared" si="80"/>
        <v>2865448.4713203777</v>
      </c>
      <c r="ME31" s="14">
        <v>43245</v>
      </c>
      <c r="MG31" s="65">
        <f t="shared" si="164"/>
        <v>6</v>
      </c>
      <c r="MH31" s="13">
        <f t="shared" si="81"/>
        <v>1773357.9969493907</v>
      </c>
      <c r="MI31" s="14">
        <v>43246</v>
      </c>
      <c r="MK31" s="65">
        <f t="shared" si="165"/>
        <v>0</v>
      </c>
      <c r="ML31" s="13">
        <f t="shared" si="82"/>
        <v>1583456.0503606272</v>
      </c>
      <c r="MM31" s="14">
        <v>43252</v>
      </c>
      <c r="MO31" s="65"/>
      <c r="MP31" s="13"/>
      <c r="MQ31" s="14"/>
      <c r="MS31" s="65"/>
      <c r="MT31" s="13"/>
      <c r="MU31" s="14"/>
    </row>
    <row r="32" spans="1:359" x14ac:dyDescent="0.25">
      <c r="A32" s="15">
        <f t="shared" si="1"/>
        <v>731986.33021192998</v>
      </c>
      <c r="B32" s="20">
        <v>42726</v>
      </c>
      <c r="D32" s="12">
        <v>144</v>
      </c>
      <c r="E32" s="17">
        <v>1140245.5081394231</v>
      </c>
      <c r="F32" s="14">
        <v>42456</v>
      </c>
      <c r="I32" s="12">
        <v>9</v>
      </c>
      <c r="J32" s="17">
        <v>1191962.169981434</v>
      </c>
      <c r="K32" s="14">
        <v>42498</v>
      </c>
      <c r="N32" s="12">
        <f t="shared" si="85"/>
        <v>74</v>
      </c>
      <c r="O32" s="13">
        <f t="shared" si="2"/>
        <v>731986.33021192998</v>
      </c>
      <c r="P32" s="14">
        <v>42726</v>
      </c>
      <c r="T32" s="15">
        <f t="shared" si="3"/>
        <v>1535576.6497056801</v>
      </c>
      <c r="U32" s="20">
        <v>42975</v>
      </c>
      <c r="W32" s="12">
        <v>144</v>
      </c>
      <c r="X32" s="17">
        <v>1140245.5081394231</v>
      </c>
      <c r="Y32" s="14">
        <v>42456</v>
      </c>
      <c r="AB32" s="12">
        <v>9</v>
      </c>
      <c r="AC32" s="17">
        <v>1191962.169981434</v>
      </c>
      <c r="AD32" s="14">
        <v>42498</v>
      </c>
      <c r="AG32" s="12">
        <f t="shared" si="86"/>
        <v>9</v>
      </c>
      <c r="AH32" s="13">
        <f t="shared" si="0"/>
        <v>1535576.6497056801</v>
      </c>
      <c r="AI32" s="14">
        <v>42975</v>
      </c>
      <c r="AK32" s="12">
        <f t="shared" si="87"/>
        <v>16</v>
      </c>
      <c r="AL32" s="13">
        <f t="shared" si="4"/>
        <v>1387647.5353757385</v>
      </c>
      <c r="AM32" s="14">
        <v>42982</v>
      </c>
      <c r="AO32" s="12">
        <f t="shared" si="88"/>
        <v>14</v>
      </c>
      <c r="AP32" s="13">
        <f t="shared" si="5"/>
        <v>3653905.8434125404</v>
      </c>
      <c r="AQ32" s="14">
        <v>42985</v>
      </c>
      <c r="AS32" s="12">
        <f t="shared" si="89"/>
        <v>4</v>
      </c>
      <c r="AT32" s="13">
        <f t="shared" si="6"/>
        <v>1234576.1341403471</v>
      </c>
      <c r="AU32" s="14">
        <v>42985</v>
      </c>
      <c r="AW32" s="65">
        <f t="shared" si="90"/>
        <v>6</v>
      </c>
      <c r="AX32" s="13">
        <f t="shared" si="7"/>
        <v>697484.51165193913</v>
      </c>
      <c r="AY32" s="14">
        <v>42987</v>
      </c>
      <c r="BA32" s="65">
        <f t="shared" si="91"/>
        <v>3</v>
      </c>
      <c r="BB32" s="13">
        <f t="shared" si="8"/>
        <v>618241.57792964356</v>
      </c>
      <c r="BC32" s="14">
        <v>42987</v>
      </c>
      <c r="BE32" s="65">
        <f t="shared" si="92"/>
        <v>10</v>
      </c>
      <c r="BF32" s="13">
        <f t="shared" si="9"/>
        <v>1393792.8479449598</v>
      </c>
      <c r="BG32" s="14">
        <v>42988</v>
      </c>
      <c r="BM32" s="65">
        <f t="shared" si="94"/>
        <v>28</v>
      </c>
      <c r="BN32" s="13">
        <f t="shared" si="11"/>
        <v>1864432.5400418458</v>
      </c>
      <c r="BO32" s="14">
        <v>42992</v>
      </c>
      <c r="BQ32" s="65">
        <f t="shared" si="95"/>
        <v>33</v>
      </c>
      <c r="BR32" s="13">
        <f t="shared" si="12"/>
        <v>4292895.4763195841</v>
      </c>
      <c r="BS32" s="14">
        <v>42999</v>
      </c>
      <c r="BU32" s="65">
        <f t="shared" si="96"/>
        <v>2</v>
      </c>
      <c r="BV32" s="13">
        <f t="shared" si="13"/>
        <v>1611611.1144078879</v>
      </c>
      <c r="BW32" s="14">
        <v>43008</v>
      </c>
      <c r="BY32" s="65">
        <f t="shared" si="97"/>
        <v>2</v>
      </c>
      <c r="BZ32" s="13">
        <f t="shared" si="14"/>
        <v>1611611.1144078879</v>
      </c>
      <c r="CA32" s="14">
        <v>43008</v>
      </c>
      <c r="CC32" s="65">
        <f t="shared" si="98"/>
        <v>10</v>
      </c>
      <c r="CD32" s="13">
        <f t="shared" si="15"/>
        <v>1623670.1272117179</v>
      </c>
      <c r="CE32" s="14">
        <v>43009</v>
      </c>
      <c r="CG32" s="65">
        <f t="shared" si="99"/>
        <v>18</v>
      </c>
      <c r="CH32" s="13">
        <f t="shared" si="16"/>
        <v>973646.03964689875</v>
      </c>
      <c r="CI32" s="14">
        <v>43009</v>
      </c>
      <c r="CK32" s="65">
        <f t="shared" si="100"/>
        <v>42</v>
      </c>
      <c r="CL32" s="13">
        <f t="shared" si="17"/>
        <v>800890.78579085122</v>
      </c>
      <c r="CM32" s="14">
        <v>43013</v>
      </c>
      <c r="CO32" s="65"/>
      <c r="CP32" s="13"/>
      <c r="CQ32" s="14"/>
      <c r="CS32" s="65"/>
      <c r="CT32" s="13"/>
      <c r="CU32" s="14"/>
      <c r="CW32" s="65">
        <f t="shared" si="103"/>
        <v>24</v>
      </c>
      <c r="CX32" s="13">
        <f t="shared" si="20"/>
        <v>2547841.7641412611</v>
      </c>
      <c r="CY32" s="14">
        <v>43017</v>
      </c>
      <c r="DA32" s="65">
        <f t="shared" si="104"/>
        <v>4</v>
      </c>
      <c r="DB32" s="13">
        <f t="shared" si="21"/>
        <v>2813042.1344610732</v>
      </c>
      <c r="DC32" s="14">
        <v>43022</v>
      </c>
      <c r="DE32" s="65">
        <f t="shared" si="105"/>
        <v>23</v>
      </c>
      <c r="DF32" s="13">
        <f t="shared" si="22"/>
        <v>3199959.3030291265</v>
      </c>
      <c r="DG32" s="14">
        <v>43023</v>
      </c>
      <c r="DI32" s="65"/>
      <c r="DJ32" s="13"/>
      <c r="DK32" s="14"/>
      <c r="DM32" s="65"/>
      <c r="DN32" s="13"/>
      <c r="DO32" s="14"/>
      <c r="DQ32" s="65"/>
      <c r="DR32" s="13"/>
      <c r="DS32" s="14"/>
      <c r="DU32" s="65">
        <f t="shared" si="109"/>
        <v>68</v>
      </c>
      <c r="DV32" s="13">
        <f t="shared" si="26"/>
        <v>2330797.0210637371</v>
      </c>
      <c r="DW32" s="14">
        <v>43034</v>
      </c>
      <c r="DY32" s="65">
        <f t="shared" si="110"/>
        <v>79</v>
      </c>
      <c r="DZ32" s="13">
        <f t="shared" si="27"/>
        <v>792193.79133421101</v>
      </c>
      <c r="EA32" s="14">
        <v>43037</v>
      </c>
      <c r="EC32" s="65">
        <f t="shared" si="111"/>
        <v>4</v>
      </c>
      <c r="ED32" s="13">
        <f t="shared" si="28"/>
        <v>1261823.4986955319</v>
      </c>
      <c r="EE32" s="14">
        <v>43038</v>
      </c>
      <c r="EG32" s="65">
        <f t="shared" si="112"/>
        <v>12</v>
      </c>
      <c r="EH32" s="13">
        <f t="shared" si="29"/>
        <v>1592749.564182939</v>
      </c>
      <c r="EI32" s="14">
        <v>43043</v>
      </c>
      <c r="EK32" s="65"/>
      <c r="EL32" s="13"/>
      <c r="EM32" s="14"/>
      <c r="EO32" s="65">
        <f t="shared" si="114"/>
        <v>53</v>
      </c>
      <c r="EP32" s="13">
        <f t="shared" si="31"/>
        <v>1279718.1937983071</v>
      </c>
      <c r="EQ32" s="14">
        <v>43049</v>
      </c>
      <c r="ES32" s="65">
        <f t="shared" si="115"/>
        <v>10</v>
      </c>
      <c r="ET32" s="13">
        <f t="shared" si="32"/>
        <v>1603559.7190499445</v>
      </c>
      <c r="EU32" s="14">
        <v>43049</v>
      </c>
      <c r="EW32" s="65"/>
      <c r="EX32" s="13"/>
      <c r="EY32" s="14"/>
      <c r="FA32" s="65">
        <f t="shared" si="117"/>
        <v>52</v>
      </c>
      <c r="FB32" s="13">
        <f t="shared" si="34"/>
        <v>1259292.4848312803</v>
      </c>
      <c r="FC32" s="14">
        <v>43056</v>
      </c>
      <c r="FE32" s="65">
        <f t="shared" si="118"/>
        <v>47</v>
      </c>
      <c r="FF32" s="13">
        <f t="shared" si="35"/>
        <v>3152393.4332502438</v>
      </c>
      <c r="FG32" s="14">
        <v>43056</v>
      </c>
      <c r="FI32" s="65">
        <f t="shared" si="119"/>
        <v>44</v>
      </c>
      <c r="FJ32" s="13">
        <f t="shared" si="36"/>
        <v>1740901.7411879138</v>
      </c>
      <c r="FK32" s="14">
        <v>43058</v>
      </c>
      <c r="FM32" s="65">
        <f t="shared" si="120"/>
        <v>10</v>
      </c>
      <c r="FN32" s="13">
        <f t="shared" si="37"/>
        <v>1141171.6396036861</v>
      </c>
      <c r="FO32" s="14">
        <v>43063</v>
      </c>
      <c r="FQ32" s="65">
        <f t="shared" si="121"/>
        <v>6</v>
      </c>
      <c r="FR32" s="13">
        <f t="shared" si="38"/>
        <v>1410648.3559786249</v>
      </c>
      <c r="FS32" s="14">
        <v>43063</v>
      </c>
      <c r="FU32" s="65">
        <f t="shared" si="122"/>
        <v>19</v>
      </c>
      <c r="FV32" s="13">
        <f t="shared" si="39"/>
        <v>1904934.3577373691</v>
      </c>
      <c r="FW32" s="14">
        <v>43065</v>
      </c>
      <c r="FY32" s="65">
        <f t="shared" si="123"/>
        <v>5</v>
      </c>
      <c r="FZ32" s="13">
        <f t="shared" si="40"/>
        <v>3946775.6970023694</v>
      </c>
      <c r="GA32" s="14">
        <v>43065</v>
      </c>
      <c r="GC32" s="65">
        <f t="shared" si="124"/>
        <v>9</v>
      </c>
      <c r="GD32" s="13">
        <f t="shared" si="41"/>
        <v>868042.26386844064</v>
      </c>
      <c r="GE32" s="14">
        <v>43066</v>
      </c>
      <c r="GG32" s="65">
        <f t="shared" si="125"/>
        <v>5</v>
      </c>
      <c r="GH32" s="13">
        <f t="shared" si="42"/>
        <v>2841567.1283004191</v>
      </c>
      <c r="GI32" s="14">
        <v>43070</v>
      </c>
      <c r="GK32" s="65"/>
      <c r="GL32" s="13"/>
      <c r="GM32" s="14"/>
      <c r="GO32" s="65">
        <f t="shared" si="127"/>
        <v>6</v>
      </c>
      <c r="GP32" s="13">
        <f t="shared" si="44"/>
        <v>1258430.8334755069</v>
      </c>
      <c r="GQ32" s="14">
        <v>43090</v>
      </c>
      <c r="GS32" s="65">
        <f t="shared" si="128"/>
        <v>11</v>
      </c>
      <c r="GT32" s="13">
        <f t="shared" si="45"/>
        <v>1549229.308558793</v>
      </c>
      <c r="GU32" s="14">
        <v>43093</v>
      </c>
      <c r="GW32" s="65">
        <f t="shared" si="129"/>
        <v>11</v>
      </c>
      <c r="GX32" s="13">
        <f t="shared" si="46"/>
        <v>922916.9033734866</v>
      </c>
      <c r="GY32" s="14">
        <v>43094</v>
      </c>
      <c r="HA32" s="65">
        <f t="shared" si="130"/>
        <v>11</v>
      </c>
      <c r="HB32" s="13">
        <f t="shared" si="47"/>
        <v>1538251.1772276214</v>
      </c>
      <c r="HC32" s="14">
        <v>43094</v>
      </c>
      <c r="HE32" s="65">
        <f t="shared" si="131"/>
        <v>6</v>
      </c>
      <c r="HF32" s="13">
        <f t="shared" si="48"/>
        <v>1102322.6256680877</v>
      </c>
      <c r="HG32" s="14">
        <v>43098</v>
      </c>
      <c r="HI32" s="65"/>
      <c r="HJ32" s="13"/>
      <c r="HK32" s="14"/>
      <c r="HM32" s="65"/>
      <c r="HN32" s="13"/>
      <c r="HO32" s="14"/>
      <c r="HQ32" s="65">
        <f t="shared" si="134"/>
        <v>8</v>
      </c>
      <c r="HR32" s="13">
        <f t="shared" si="51"/>
        <v>3046910.9239871055</v>
      </c>
      <c r="HS32" s="14">
        <v>43100</v>
      </c>
      <c r="HU32" s="65"/>
      <c r="HV32" s="13"/>
      <c r="HW32" s="14"/>
      <c r="HY32" s="65"/>
      <c r="HZ32" s="13"/>
      <c r="IA32" s="14"/>
      <c r="IC32" s="65"/>
      <c r="ID32" s="13"/>
      <c r="IE32" s="14"/>
      <c r="IG32" s="65">
        <f t="shared" si="138"/>
        <v>9</v>
      </c>
      <c r="IH32" s="13">
        <f t="shared" si="55"/>
        <v>1285209.7301923558</v>
      </c>
      <c r="II32" s="14">
        <v>43115</v>
      </c>
      <c r="IK32" s="65">
        <f t="shared" si="139"/>
        <v>17</v>
      </c>
      <c r="IL32" s="13">
        <f t="shared" si="56"/>
        <v>2583317.4503990826</v>
      </c>
      <c r="IM32" s="14">
        <v>43119</v>
      </c>
      <c r="IO32" s="65">
        <f t="shared" si="140"/>
        <v>9</v>
      </c>
      <c r="IP32" s="13">
        <f t="shared" si="57"/>
        <v>1135512.0058231328</v>
      </c>
      <c r="IQ32" s="14">
        <v>43120</v>
      </c>
      <c r="IS32" s="65">
        <f t="shared" si="141"/>
        <v>6</v>
      </c>
      <c r="IT32" s="13">
        <f t="shared" si="58"/>
        <v>1489958.3120617913</v>
      </c>
      <c r="IU32" s="14">
        <v>43126</v>
      </c>
      <c r="IW32" s="65">
        <f t="shared" si="142"/>
        <v>10</v>
      </c>
      <c r="IX32" s="13">
        <f t="shared" si="59"/>
        <v>1645610.7181802685</v>
      </c>
      <c r="IY32" s="14">
        <v>43126</v>
      </c>
      <c r="JA32" s="65">
        <f t="shared" si="143"/>
        <v>34</v>
      </c>
      <c r="JB32" s="13">
        <f t="shared" si="60"/>
        <v>986973.67407264549</v>
      </c>
      <c r="JC32" s="14">
        <v>43132</v>
      </c>
      <c r="JE32" s="65">
        <f t="shared" si="144"/>
        <v>17</v>
      </c>
      <c r="JF32" s="13">
        <f t="shared" si="61"/>
        <v>1482314.50833028</v>
      </c>
      <c r="JG32" s="14">
        <v>43143</v>
      </c>
      <c r="JI32" s="65"/>
      <c r="JJ32" s="13"/>
      <c r="JK32" s="14"/>
      <c r="JM32" s="65">
        <f t="shared" si="146"/>
        <v>5</v>
      </c>
      <c r="JN32" s="13">
        <f t="shared" si="63"/>
        <v>993359.4926087067</v>
      </c>
      <c r="JO32" s="14">
        <v>43148</v>
      </c>
      <c r="JQ32" s="65">
        <f t="shared" si="147"/>
        <v>11</v>
      </c>
      <c r="JR32" s="13">
        <f t="shared" si="64"/>
        <v>1500568.7488456536</v>
      </c>
      <c r="JS32" s="14">
        <v>43149</v>
      </c>
      <c r="JU32" s="65">
        <f t="shared" si="148"/>
        <v>39</v>
      </c>
      <c r="JV32" s="13">
        <f t="shared" si="65"/>
        <v>1651489.5041284293</v>
      </c>
      <c r="JW32" s="14">
        <v>43154</v>
      </c>
      <c r="JY32" s="65">
        <f t="shared" si="149"/>
        <v>17</v>
      </c>
      <c r="JZ32" s="13">
        <f t="shared" si="66"/>
        <v>1482314.50833028</v>
      </c>
      <c r="KA32" s="14">
        <v>43143</v>
      </c>
      <c r="KC32" s="65"/>
      <c r="KD32" s="13"/>
      <c r="KE32" s="14"/>
      <c r="KG32" s="65">
        <f t="shared" si="151"/>
        <v>5</v>
      </c>
      <c r="KH32" s="13">
        <f t="shared" si="68"/>
        <v>993359.4926087067</v>
      </c>
      <c r="KI32" s="14">
        <v>43148</v>
      </c>
      <c r="KK32" s="65">
        <f t="shared" si="152"/>
        <v>11</v>
      </c>
      <c r="KL32" s="13">
        <f t="shared" si="69"/>
        <v>1500568.7488456536</v>
      </c>
      <c r="KM32" s="14">
        <v>43149</v>
      </c>
      <c r="KO32" s="65">
        <f t="shared" si="153"/>
        <v>0</v>
      </c>
      <c r="KP32" s="13">
        <f>($KQ$2/(1+$KQ$4*KO32/360))*0</f>
        <v>0</v>
      </c>
      <c r="KQ32" s="14">
        <v>43192</v>
      </c>
      <c r="KS32" s="65">
        <f t="shared" si="154"/>
        <v>27</v>
      </c>
      <c r="KT32" s="13">
        <f t="shared" si="71"/>
        <v>3306732.3510717019</v>
      </c>
      <c r="KU32" s="14">
        <v>43195</v>
      </c>
      <c r="KW32" s="65">
        <f t="shared" si="155"/>
        <v>18</v>
      </c>
      <c r="KX32" s="13">
        <f t="shared" si="72"/>
        <v>2988185.83166784</v>
      </c>
      <c r="KY32" s="14">
        <v>43197</v>
      </c>
      <c r="LA32" s="65">
        <f t="shared" si="156"/>
        <v>55</v>
      </c>
      <c r="LB32" s="13">
        <f t="shared" si="73"/>
        <v>2631348.7437756457</v>
      </c>
      <c r="LC32" s="14">
        <v>43209</v>
      </c>
      <c r="LE32" s="65"/>
      <c r="LF32" s="13"/>
      <c r="LG32" s="14"/>
      <c r="LI32" s="65">
        <f t="shared" si="158"/>
        <v>15</v>
      </c>
      <c r="LJ32" s="13">
        <f t="shared" si="75"/>
        <v>2484575.5950147775</v>
      </c>
      <c r="LK32" s="14">
        <v>43216</v>
      </c>
      <c r="LM32" s="65">
        <f t="shared" si="159"/>
        <v>43</v>
      </c>
      <c r="LN32" s="13">
        <f t="shared" si="76"/>
        <v>743891.98644612357</v>
      </c>
      <c r="LO32" s="14">
        <v>43219</v>
      </c>
      <c r="LQ32" s="65">
        <f t="shared" si="160"/>
        <v>12</v>
      </c>
      <c r="LR32" s="13">
        <f t="shared" si="77"/>
        <v>2776336.4545215955</v>
      </c>
      <c r="LS32" s="14">
        <v>43232</v>
      </c>
      <c r="LU32" s="65"/>
      <c r="LV32" s="13"/>
      <c r="LW32" s="14"/>
      <c r="LY32" s="65">
        <f t="shared" si="162"/>
        <v>15</v>
      </c>
      <c r="LZ32" s="13">
        <f t="shared" si="79"/>
        <v>975997.93439286819</v>
      </c>
      <c r="MA32" s="14">
        <v>43244</v>
      </c>
      <c r="MC32" s="65">
        <f t="shared" si="163"/>
        <v>10</v>
      </c>
      <c r="MD32" s="13">
        <f t="shared" si="80"/>
        <v>2865631.1979967183</v>
      </c>
      <c r="ME32" s="14">
        <v>43246</v>
      </c>
      <c r="MG32" s="65">
        <f t="shared" si="164"/>
        <v>5</v>
      </c>
      <c r="MH32" s="13">
        <f t="shared" si="81"/>
        <v>1773478.1383654985</v>
      </c>
      <c r="MI32" s="14">
        <v>43247</v>
      </c>
      <c r="MK32" s="65"/>
      <c r="ML32" s="13"/>
      <c r="MM32" s="14"/>
      <c r="MO32" s="65"/>
      <c r="MP32" s="13"/>
      <c r="MQ32" s="14"/>
      <c r="MS32" s="65"/>
      <c r="MT32" s="13"/>
      <c r="MU32" s="14"/>
    </row>
    <row r="33" spans="1:359" x14ac:dyDescent="0.25">
      <c r="A33" s="15">
        <f t="shared" si="1"/>
        <v>732015.6249180981</v>
      </c>
      <c r="B33" s="20">
        <v>42727</v>
      </c>
      <c r="D33" s="12">
        <v>143</v>
      </c>
      <c r="E33" s="17">
        <v>1140272.6325815457</v>
      </c>
      <c r="F33" s="14">
        <v>42457</v>
      </c>
      <c r="I33" s="12">
        <v>8</v>
      </c>
      <c r="J33" s="17">
        <v>1191976.4252491915</v>
      </c>
      <c r="K33" s="14">
        <v>42499</v>
      </c>
      <c r="N33" s="12">
        <f t="shared" si="85"/>
        <v>73</v>
      </c>
      <c r="O33" s="13">
        <f t="shared" si="2"/>
        <v>732015.6249180981</v>
      </c>
      <c r="P33" s="14">
        <v>42727</v>
      </c>
      <c r="T33" s="15">
        <f t="shared" si="3"/>
        <v>1535655.5459033584</v>
      </c>
      <c r="U33" s="20">
        <v>42976</v>
      </c>
      <c r="W33" s="12">
        <v>143</v>
      </c>
      <c r="X33" s="17">
        <v>1140272.6325815457</v>
      </c>
      <c r="Y33" s="14">
        <v>42457</v>
      </c>
      <c r="AB33" s="12">
        <v>8</v>
      </c>
      <c r="AC33" s="17">
        <v>1191976.4252491915</v>
      </c>
      <c r="AD33" s="14">
        <v>42499</v>
      </c>
      <c r="AG33" s="12">
        <f t="shared" si="86"/>
        <v>8</v>
      </c>
      <c r="AH33" s="13">
        <f t="shared" si="0"/>
        <v>1535655.5459033584</v>
      </c>
      <c r="AI33" s="14">
        <v>42976</v>
      </c>
      <c r="AK33" s="12">
        <f t="shared" si="87"/>
        <v>15</v>
      </c>
      <c r="AL33" s="13">
        <f t="shared" si="4"/>
        <v>1387717.031252875</v>
      </c>
      <c r="AM33" s="14">
        <v>42983</v>
      </c>
      <c r="AO33" s="12">
        <f t="shared" si="88"/>
        <v>13</v>
      </c>
      <c r="AP33" s="13">
        <f t="shared" si="5"/>
        <v>3654105.1382713253</v>
      </c>
      <c r="AQ33" s="14">
        <v>42986</v>
      </c>
      <c r="AS33" s="12">
        <f t="shared" si="89"/>
        <v>3</v>
      </c>
      <c r="AT33" s="13">
        <f t="shared" si="6"/>
        <v>1234650.2884136692</v>
      </c>
      <c r="AU33" s="14">
        <v>42986</v>
      </c>
      <c r="AW33" s="65">
        <f t="shared" si="90"/>
        <v>5</v>
      </c>
      <c r="AX33" s="13">
        <f t="shared" si="7"/>
        <v>697521.56127307855</v>
      </c>
      <c r="AY33" s="14">
        <v>42988</v>
      </c>
      <c r="BA33" s="65">
        <f t="shared" si="91"/>
        <v>2</v>
      </c>
      <c r="BB33" s="13">
        <f t="shared" si="8"/>
        <v>618278.61698596529</v>
      </c>
      <c r="BC33" s="14">
        <v>42988</v>
      </c>
      <c r="BE33" s="65">
        <f t="shared" si="92"/>
        <v>9</v>
      </c>
      <c r="BF33" s="13">
        <f t="shared" si="9"/>
        <v>1393872.7300688766</v>
      </c>
      <c r="BG33" s="14">
        <v>42989</v>
      </c>
      <c r="BM33" s="65">
        <f t="shared" si="94"/>
        <v>27</v>
      </c>
      <c r="BN33" s="13">
        <f t="shared" si="11"/>
        <v>1864531.6010350422</v>
      </c>
      <c r="BO33" s="14">
        <v>42993</v>
      </c>
      <c r="BQ33" s="65">
        <f t="shared" si="95"/>
        <v>32</v>
      </c>
      <c r="BR33" s="13">
        <f t="shared" si="12"/>
        <v>4293195.2147126207</v>
      </c>
      <c r="BS33" s="14">
        <v>43000</v>
      </c>
      <c r="BU33" s="65">
        <f t="shared" si="96"/>
        <v>1</v>
      </c>
      <c r="BV33" s="13">
        <f t="shared" si="13"/>
        <v>1611685.2537931327</v>
      </c>
      <c r="BW33" s="14">
        <v>43009</v>
      </c>
      <c r="BY33" s="65">
        <f t="shared" si="97"/>
        <v>1</v>
      </c>
      <c r="BZ33" s="13">
        <f t="shared" si="14"/>
        <v>1611685.2537931327</v>
      </c>
      <c r="CA33" s="14">
        <v>43009</v>
      </c>
      <c r="CC33" s="65">
        <f t="shared" si="98"/>
        <v>9</v>
      </c>
      <c r="CD33" s="13">
        <f t="shared" si="15"/>
        <v>1623740.9538334878</v>
      </c>
      <c r="CE33" s="14">
        <v>43010</v>
      </c>
      <c r="CG33" s="65">
        <f t="shared" si="99"/>
        <v>17</v>
      </c>
      <c r="CH33" s="13">
        <f t="shared" si="16"/>
        <v>973689.08465528605</v>
      </c>
      <c r="CI33" s="14">
        <v>43010</v>
      </c>
      <c r="CK33" s="65">
        <f t="shared" si="100"/>
        <v>41</v>
      </c>
      <c r="CL33" s="13">
        <f t="shared" si="17"/>
        <v>800928.50497431529</v>
      </c>
      <c r="CM33" s="14">
        <v>43014</v>
      </c>
      <c r="CO33" s="65"/>
      <c r="CP33" s="13"/>
      <c r="CQ33" s="14"/>
      <c r="CS33" s="65"/>
      <c r="CT33" s="13"/>
      <c r="CU33" s="14"/>
      <c r="CW33" s="65">
        <f t="shared" si="103"/>
        <v>23</v>
      </c>
      <c r="CX33" s="13">
        <f t="shared" si="20"/>
        <v>2547955.4522453747</v>
      </c>
      <c r="CY33" s="14">
        <v>43018</v>
      </c>
      <c r="DA33" s="65">
        <f t="shared" si="104"/>
        <v>3</v>
      </c>
      <c r="DB33" s="13">
        <f t="shared" si="21"/>
        <v>2813169.0981614836</v>
      </c>
      <c r="DC33" s="14">
        <v>43023</v>
      </c>
      <c r="DE33" s="65">
        <f t="shared" si="105"/>
        <v>22</v>
      </c>
      <c r="DF33" s="13">
        <f t="shared" si="22"/>
        <v>3200116.9023792464</v>
      </c>
      <c r="DG33" s="14">
        <v>43024</v>
      </c>
      <c r="DI33" s="65"/>
      <c r="DJ33" s="13"/>
      <c r="DK33" s="14"/>
      <c r="DM33" s="65"/>
      <c r="DN33" s="13"/>
      <c r="DO33" s="14"/>
      <c r="DQ33" s="65"/>
      <c r="DR33" s="13"/>
      <c r="DS33" s="14"/>
      <c r="DU33" s="65">
        <f t="shared" si="109"/>
        <v>67</v>
      </c>
      <c r="DV33" s="13">
        <f t="shared" si="26"/>
        <v>2330911.8937205258</v>
      </c>
      <c r="DW33" s="14">
        <v>43035</v>
      </c>
      <c r="DY33" s="65">
        <f t="shared" si="110"/>
        <v>78</v>
      </c>
      <c r="DZ33" s="13">
        <f t="shared" si="27"/>
        <v>792235.24011889903</v>
      </c>
      <c r="EA33" s="14">
        <v>43038</v>
      </c>
      <c r="EC33" s="65">
        <f t="shared" si="111"/>
        <v>3</v>
      </c>
      <c r="ED33" s="13">
        <f t="shared" si="28"/>
        <v>1261884.7487126586</v>
      </c>
      <c r="EE33" s="14">
        <v>43039</v>
      </c>
      <c r="EG33" s="65">
        <f t="shared" si="112"/>
        <v>11</v>
      </c>
      <c r="EH33" s="13">
        <f t="shared" si="29"/>
        <v>1592835.2072462654</v>
      </c>
      <c r="EI33" s="14">
        <v>43044</v>
      </c>
      <c r="EK33" s="65"/>
      <c r="EL33" s="13"/>
      <c r="EM33" s="14"/>
      <c r="EO33" s="65">
        <f t="shared" si="114"/>
        <v>52</v>
      </c>
      <c r="EP33" s="13">
        <f t="shared" si="31"/>
        <v>1279793.0382288767</v>
      </c>
      <c r="EQ33" s="14">
        <v>43050</v>
      </c>
      <c r="ES33" s="65">
        <f t="shared" si="115"/>
        <v>9</v>
      </c>
      <c r="ET33" s="13">
        <f t="shared" si="32"/>
        <v>1603652.9560089451</v>
      </c>
      <c r="EU33" s="14">
        <v>43050</v>
      </c>
      <c r="EW33" s="65"/>
      <c r="EX33" s="13"/>
      <c r="EY33" s="14"/>
      <c r="FA33" s="65">
        <f t="shared" si="117"/>
        <v>51</v>
      </c>
      <c r="FB33" s="13">
        <f t="shared" si="34"/>
        <v>1259367.4861235828</v>
      </c>
      <c r="FC33" s="14">
        <v>43057</v>
      </c>
      <c r="FE33" s="65">
        <f t="shared" si="118"/>
        <v>46</v>
      </c>
      <c r="FF33" s="13">
        <f t="shared" si="35"/>
        <v>3152569.8431744734</v>
      </c>
      <c r="FG33" s="14">
        <v>43057</v>
      </c>
      <c r="FI33" s="65">
        <f t="shared" si="119"/>
        <v>43</v>
      </c>
      <c r="FJ33" s="13">
        <f t="shared" si="36"/>
        <v>1741007.9772297647</v>
      </c>
      <c r="FK33" s="14">
        <v>43059</v>
      </c>
      <c r="FM33" s="65">
        <f t="shared" si="120"/>
        <v>9</v>
      </c>
      <c r="FN33" s="13">
        <f t="shared" si="37"/>
        <v>1141239.4451586781</v>
      </c>
      <c r="FO33" s="14">
        <v>43064</v>
      </c>
      <c r="FQ33" s="65">
        <f t="shared" si="121"/>
        <v>5</v>
      </c>
      <c r="FR33" s="13">
        <f t="shared" si="38"/>
        <v>1410731.0902756201</v>
      </c>
      <c r="FS33" s="14">
        <v>43064</v>
      </c>
      <c r="FU33" s="65">
        <f t="shared" si="122"/>
        <v>18</v>
      </c>
      <c r="FV33" s="13">
        <f t="shared" si="39"/>
        <v>1905047.2279222766</v>
      </c>
      <c r="FW33" s="14">
        <v>43066</v>
      </c>
      <c r="FY33" s="65">
        <f t="shared" si="123"/>
        <v>4</v>
      </c>
      <c r="FZ33" s="13">
        <f t="shared" si="40"/>
        <v>3946998.0830356469</v>
      </c>
      <c r="GA33" s="14">
        <v>43066</v>
      </c>
      <c r="GC33" s="65">
        <f t="shared" si="124"/>
        <v>8</v>
      </c>
      <c r="GD33" s="13">
        <f t="shared" si="41"/>
        <v>868090.93173308065</v>
      </c>
      <c r="GE33" s="14">
        <v>43067</v>
      </c>
      <c r="GG33" s="65">
        <f t="shared" si="125"/>
        <v>4</v>
      </c>
      <c r="GH33" s="13">
        <f t="shared" si="42"/>
        <v>2841722.5926619139</v>
      </c>
      <c r="GI33" s="14">
        <v>43071</v>
      </c>
      <c r="GK33" s="65"/>
      <c r="GL33" s="13"/>
      <c r="GM33" s="14"/>
      <c r="GO33" s="65">
        <f t="shared" si="127"/>
        <v>5</v>
      </c>
      <c r="GP33" s="13">
        <f t="shared" si="44"/>
        <v>1258533.8879206381</v>
      </c>
      <c r="GQ33" s="14">
        <v>43091</v>
      </c>
      <c r="GS33" s="65">
        <f t="shared" si="128"/>
        <v>10</v>
      </c>
      <c r="GT33" s="13">
        <f t="shared" si="45"/>
        <v>1549354.1758491751</v>
      </c>
      <c r="GU33" s="14">
        <v>43094</v>
      </c>
      <c r="GW33" s="65">
        <f t="shared" si="129"/>
        <v>10</v>
      </c>
      <c r="GX33" s="13">
        <f t="shared" si="46"/>
        <v>922988.23900969687</v>
      </c>
      <c r="GY33" s="14">
        <v>43095</v>
      </c>
      <c r="HA33" s="65">
        <f t="shared" si="130"/>
        <v>10</v>
      </c>
      <c r="HB33" s="13">
        <f t="shared" si="47"/>
        <v>1538364.9550317815</v>
      </c>
      <c r="HC33" s="14">
        <v>43095</v>
      </c>
      <c r="HE33" s="65">
        <f t="shared" si="131"/>
        <v>5</v>
      </c>
      <c r="HF33" s="13">
        <f t="shared" si="48"/>
        <v>1102405.9773386859</v>
      </c>
      <c r="HG33" s="14">
        <v>43099</v>
      </c>
      <c r="HI33" s="65"/>
      <c r="HJ33" s="13"/>
      <c r="HK33" s="14"/>
      <c r="HM33" s="65"/>
      <c r="HN33" s="13"/>
      <c r="HO33" s="14"/>
      <c r="HQ33" s="65">
        <f t="shared" si="134"/>
        <v>7</v>
      </c>
      <c r="HR33" s="13">
        <f t="shared" si="51"/>
        <v>3047185.1171382642</v>
      </c>
      <c r="HS33" s="14">
        <v>43101</v>
      </c>
      <c r="HU33" s="65"/>
      <c r="HV33" s="13"/>
      <c r="HW33" s="14"/>
      <c r="HY33" s="65"/>
      <c r="HZ33" s="13"/>
      <c r="IA33" s="14"/>
      <c r="IC33" s="65"/>
      <c r="ID33" s="13"/>
      <c r="IE33" s="14"/>
      <c r="IG33" s="65">
        <f t="shared" si="138"/>
        <v>8</v>
      </c>
      <c r="IH33" s="13">
        <f t="shared" si="55"/>
        <v>1285316.7596502334</v>
      </c>
      <c r="II33" s="14">
        <v>43116</v>
      </c>
      <c r="IK33" s="65">
        <f t="shared" si="139"/>
        <v>16</v>
      </c>
      <c r="IL33" s="13">
        <f t="shared" si="56"/>
        <v>2583535.4987299577</v>
      </c>
      <c r="IM33" s="14">
        <v>43120</v>
      </c>
      <c r="IO33" s="65">
        <f t="shared" si="140"/>
        <v>8</v>
      </c>
      <c r="IP33" s="13">
        <f t="shared" si="57"/>
        <v>1135606.5687816457</v>
      </c>
      <c r="IQ33" s="14">
        <v>43121</v>
      </c>
      <c r="IS33" s="65">
        <f t="shared" si="141"/>
        <v>5</v>
      </c>
      <c r="IT33" s="13">
        <f t="shared" si="58"/>
        <v>1490052.086129922</v>
      </c>
      <c r="IU33" s="14">
        <v>43127</v>
      </c>
      <c r="IW33" s="65">
        <f t="shared" si="142"/>
        <v>9</v>
      </c>
      <c r="IX33" s="13">
        <f t="shared" si="59"/>
        <v>1645712.853000527</v>
      </c>
      <c r="IY33" s="14">
        <v>43127</v>
      </c>
      <c r="JA33" s="65">
        <f t="shared" si="143"/>
        <v>33</v>
      </c>
      <c r="JB33" s="13">
        <f t="shared" si="60"/>
        <v>987026.15265848278</v>
      </c>
      <c r="JC33" s="14">
        <v>43133</v>
      </c>
      <c r="JE33" s="65">
        <f t="shared" si="144"/>
        <v>16</v>
      </c>
      <c r="JF33" s="13">
        <f t="shared" si="61"/>
        <v>1482390.4253389984</v>
      </c>
      <c r="JG33" s="14">
        <v>43144</v>
      </c>
      <c r="JI33" s="65"/>
      <c r="JJ33" s="13"/>
      <c r="JK33" s="14"/>
      <c r="JM33" s="65">
        <f t="shared" si="146"/>
        <v>4</v>
      </c>
      <c r="JN33" s="13">
        <f t="shared" si="63"/>
        <v>993412.4314883803</v>
      </c>
      <c r="JO33" s="14">
        <v>43149</v>
      </c>
      <c r="JQ33" s="65">
        <f t="shared" si="147"/>
        <v>10</v>
      </c>
      <c r="JR33" s="13">
        <f t="shared" si="64"/>
        <v>1500655.7710314109</v>
      </c>
      <c r="JS33" s="14">
        <v>43150</v>
      </c>
      <c r="JU33" s="65">
        <f t="shared" si="148"/>
        <v>38</v>
      </c>
      <c r="JV33" s="13">
        <f t="shared" si="65"/>
        <v>1651591.8927514472</v>
      </c>
      <c r="JW33" s="14">
        <v>43155</v>
      </c>
      <c r="JY33" s="65">
        <f t="shared" si="149"/>
        <v>16</v>
      </c>
      <c r="JZ33" s="13">
        <f t="shared" si="66"/>
        <v>1482390.4253389984</v>
      </c>
      <c r="KA33" s="14">
        <v>43144</v>
      </c>
      <c r="KC33" s="65"/>
      <c r="KD33" s="13"/>
      <c r="KE33" s="14"/>
      <c r="KG33" s="65">
        <f t="shared" si="151"/>
        <v>4</v>
      </c>
      <c r="KH33" s="13">
        <f t="shared" si="68"/>
        <v>993412.4314883803</v>
      </c>
      <c r="KI33" s="14">
        <v>43149</v>
      </c>
      <c r="KK33" s="65">
        <f t="shared" si="152"/>
        <v>10</v>
      </c>
      <c r="KL33" s="13">
        <f t="shared" si="69"/>
        <v>1500655.7710314109</v>
      </c>
      <c r="KM33" s="14">
        <v>43150</v>
      </c>
      <c r="KO33" s="65"/>
      <c r="KP33" s="13"/>
      <c r="KQ33" s="14"/>
      <c r="KS33" s="65">
        <f t="shared" si="154"/>
        <v>26</v>
      </c>
      <c r="KT33" s="13">
        <f t="shared" si="71"/>
        <v>3306944.310233667</v>
      </c>
      <c r="KU33" s="14">
        <v>43196</v>
      </c>
      <c r="KW33" s="65">
        <f t="shared" si="155"/>
        <v>17</v>
      </c>
      <c r="KX33" s="13">
        <f t="shared" si="72"/>
        <v>2988371.0909320372</v>
      </c>
      <c r="KY33" s="14">
        <v>43198</v>
      </c>
      <c r="LA33" s="65">
        <f t="shared" si="156"/>
        <v>54</v>
      </c>
      <c r="LB33" s="13">
        <f t="shared" si="73"/>
        <v>2631549.6487660087</v>
      </c>
      <c r="LC33" s="14">
        <v>43210</v>
      </c>
      <c r="LE33" s="65"/>
      <c r="LF33" s="13"/>
      <c r="LG33" s="14"/>
      <c r="LI33" s="65">
        <f t="shared" si="158"/>
        <v>14</v>
      </c>
      <c r="LJ33" s="13">
        <f t="shared" si="75"/>
        <v>2484747.0379659836</v>
      </c>
      <c r="LK33" s="14">
        <v>43217</v>
      </c>
      <c r="LM33" s="65">
        <f t="shared" si="159"/>
        <v>42</v>
      </c>
      <c r="LN33" s="13">
        <f t="shared" si="76"/>
        <v>743945.08379519393</v>
      </c>
      <c r="LO33" s="14">
        <v>43220</v>
      </c>
      <c r="LQ33" s="65">
        <f t="shared" si="160"/>
        <v>11</v>
      </c>
      <c r="LR33" s="13">
        <f t="shared" si="77"/>
        <v>2776514.9085111637</v>
      </c>
      <c r="LS33" s="14">
        <v>43233</v>
      </c>
      <c r="LU33" s="65"/>
      <c r="LV33" s="13"/>
      <c r="LW33" s="14"/>
      <c r="LY33" s="65">
        <f t="shared" si="162"/>
        <v>14</v>
      </c>
      <c r="LZ33" s="13">
        <f t="shared" si="79"/>
        <v>976064.13204997685</v>
      </c>
      <c r="MA33" s="14">
        <v>43245</v>
      </c>
      <c r="MC33" s="65">
        <f t="shared" si="163"/>
        <v>9</v>
      </c>
      <c r="MD33" s="13">
        <f t="shared" si="80"/>
        <v>2865813.9479791261</v>
      </c>
      <c r="ME33" s="14">
        <v>43247</v>
      </c>
      <c r="MG33" s="65">
        <f t="shared" si="164"/>
        <v>4</v>
      </c>
      <c r="MH33" s="13">
        <f t="shared" si="81"/>
        <v>1773598.2960613852</v>
      </c>
      <c r="MI33" s="14">
        <v>43248</v>
      </c>
      <c r="MK33" s="65"/>
      <c r="ML33" s="13"/>
      <c r="MM33" s="14"/>
      <c r="MO33" s="65"/>
      <c r="MP33" s="13"/>
      <c r="MQ33" s="14"/>
      <c r="MS33" s="65"/>
      <c r="MT33" s="13"/>
      <c r="MU33" s="14"/>
    </row>
    <row r="34" spans="1:359" x14ac:dyDescent="0.25">
      <c r="A34" s="15">
        <f t="shared" si="1"/>
        <v>732044.92196915753</v>
      </c>
      <c r="B34" s="20">
        <v>42728</v>
      </c>
      <c r="D34" s="12">
        <v>142</v>
      </c>
      <c r="E34" s="17">
        <v>1140299.7583141846</v>
      </c>
      <c r="F34" s="14">
        <v>42458</v>
      </c>
      <c r="I34" s="12">
        <v>7</v>
      </c>
      <c r="J34" s="17">
        <v>1191990.6808579252</v>
      </c>
      <c r="K34" s="14">
        <v>42500</v>
      </c>
      <c r="N34" s="12">
        <f t="shared" si="85"/>
        <v>72</v>
      </c>
      <c r="O34" s="13">
        <f t="shared" si="2"/>
        <v>732044.92196915753</v>
      </c>
      <c r="P34" s="14">
        <v>42728</v>
      </c>
      <c r="T34" s="15">
        <f t="shared" si="3"/>
        <v>1535734.4502086488</v>
      </c>
      <c r="U34" s="20">
        <v>42977</v>
      </c>
      <c r="W34" s="12">
        <v>142</v>
      </c>
      <c r="X34" s="17">
        <v>1140299.7583141846</v>
      </c>
      <c r="Y34" s="14">
        <v>42458</v>
      </c>
      <c r="AB34" s="12">
        <v>7</v>
      </c>
      <c r="AC34" s="17">
        <v>1191990.6808579252</v>
      </c>
      <c r="AD34" s="14">
        <v>42500</v>
      </c>
      <c r="AG34" s="12">
        <f t="shared" si="86"/>
        <v>7</v>
      </c>
      <c r="AH34" s="13">
        <f t="shared" si="0"/>
        <v>1535734.4502086488</v>
      </c>
      <c r="AI34" s="14">
        <v>42977</v>
      </c>
      <c r="AK34" s="12">
        <f t="shared" si="87"/>
        <v>14</v>
      </c>
      <c r="AL34" s="13">
        <f t="shared" si="4"/>
        <v>1387786.5340913164</v>
      </c>
      <c r="AM34" s="14">
        <v>42984</v>
      </c>
      <c r="AO34" s="12">
        <f t="shared" si="88"/>
        <v>12</v>
      </c>
      <c r="AP34" s="13">
        <f t="shared" si="5"/>
        <v>3654304.4548715604</v>
      </c>
      <c r="AQ34" s="14">
        <v>42987</v>
      </c>
      <c r="AS34" s="12">
        <f t="shared" si="89"/>
        <v>2</v>
      </c>
      <c r="AT34" s="13">
        <f t="shared" si="6"/>
        <v>1234724.451595614</v>
      </c>
      <c r="AU34" s="14">
        <v>42987</v>
      </c>
      <c r="AW34" s="65">
        <f t="shared" si="90"/>
        <v>4</v>
      </c>
      <c r="AX34" s="13">
        <f t="shared" si="7"/>
        <v>697558.61483049847</v>
      </c>
      <c r="AY34" s="14">
        <v>42989</v>
      </c>
      <c r="BA34" s="65">
        <f t="shared" si="91"/>
        <v>1</v>
      </c>
      <c r="BB34" s="13">
        <f t="shared" si="8"/>
        <v>618315.66048059694</v>
      </c>
      <c r="BC34" s="14">
        <v>42989</v>
      </c>
      <c r="BE34" s="65">
        <f t="shared" si="92"/>
        <v>8</v>
      </c>
      <c r="BF34" s="13">
        <f t="shared" si="9"/>
        <v>1393952.6213498493</v>
      </c>
      <c r="BG34" s="14">
        <v>42990</v>
      </c>
      <c r="BM34" s="65">
        <f t="shared" si="94"/>
        <v>26</v>
      </c>
      <c r="BN34" s="13">
        <f t="shared" si="11"/>
        <v>1864630.6725554112</v>
      </c>
      <c r="BO34" s="14">
        <v>42994</v>
      </c>
      <c r="BQ34" s="65">
        <f t="shared" si="95"/>
        <v>31</v>
      </c>
      <c r="BR34" s="13">
        <f t="shared" si="12"/>
        <v>4293494.9949652273</v>
      </c>
      <c r="BS34" s="14">
        <v>43001</v>
      </c>
      <c r="BU34" s="65">
        <f t="shared" si="96"/>
        <v>0</v>
      </c>
      <c r="BV34" s="13">
        <f>($BW$2/(1+$BW$4*BU34/360))*0</f>
        <v>0</v>
      </c>
      <c r="BW34" s="14">
        <v>43010</v>
      </c>
      <c r="BY34" s="65">
        <f t="shared" si="97"/>
        <v>0</v>
      </c>
      <c r="BZ34" s="13">
        <f>($CA$2/(1+$CA$4*BY34/360))*0</f>
        <v>0</v>
      </c>
      <c r="CA34" s="14">
        <v>43010</v>
      </c>
      <c r="CC34" s="65">
        <f t="shared" si="98"/>
        <v>8</v>
      </c>
      <c r="CD34" s="13">
        <f t="shared" si="15"/>
        <v>1623811.7866346277</v>
      </c>
      <c r="CE34" s="14">
        <v>43011</v>
      </c>
      <c r="CG34" s="65">
        <f t="shared" si="99"/>
        <v>16</v>
      </c>
      <c r="CH34" s="13">
        <f t="shared" si="16"/>
        <v>973732.13346989139</v>
      </c>
      <c r="CI34" s="14">
        <v>43011</v>
      </c>
      <c r="CK34" s="65">
        <f t="shared" si="100"/>
        <v>40</v>
      </c>
      <c r="CL34" s="13">
        <f t="shared" si="17"/>
        <v>800966.22771083284</v>
      </c>
      <c r="CM34" s="14">
        <v>43015</v>
      </c>
      <c r="CO34" s="65"/>
      <c r="CP34" s="13"/>
      <c r="CQ34" s="14"/>
      <c r="CS34" s="65"/>
      <c r="CT34" s="13"/>
      <c r="CU34" s="14"/>
      <c r="CW34" s="65">
        <f t="shared" si="103"/>
        <v>22</v>
      </c>
      <c r="CX34" s="13">
        <f t="shared" si="20"/>
        <v>2548069.1504957709</v>
      </c>
      <c r="CY34" s="14">
        <v>43019</v>
      </c>
      <c r="DA34" s="65">
        <f t="shared" si="104"/>
        <v>2</v>
      </c>
      <c r="DB34" s="13">
        <f t="shared" si="21"/>
        <v>2813296.0733231567</v>
      </c>
      <c r="DC34" s="14">
        <v>43024</v>
      </c>
      <c r="DE34" s="65">
        <f t="shared" si="105"/>
        <v>21</v>
      </c>
      <c r="DF34" s="13">
        <f t="shared" si="22"/>
        <v>3200274.5172538008</v>
      </c>
      <c r="DG34" s="14">
        <v>43025</v>
      </c>
      <c r="DI34" s="65"/>
      <c r="DJ34" s="13"/>
      <c r="DK34" s="14"/>
      <c r="DM34" s="65"/>
      <c r="DN34" s="13"/>
      <c r="DO34" s="14"/>
      <c r="DQ34" s="65"/>
      <c r="DR34" s="13"/>
      <c r="DS34" s="14"/>
      <c r="DU34" s="65">
        <f t="shared" si="109"/>
        <v>66</v>
      </c>
      <c r="DV34" s="13">
        <f t="shared" si="26"/>
        <v>2331026.7777008042</v>
      </c>
      <c r="DW34" s="14">
        <v>43036</v>
      </c>
      <c r="DY34" s="65">
        <f t="shared" si="110"/>
        <v>77</v>
      </c>
      <c r="DZ34" s="13">
        <f t="shared" si="27"/>
        <v>792276.69324114104</v>
      </c>
      <c r="EA34" s="14">
        <v>43039</v>
      </c>
      <c r="EC34" s="65">
        <f t="shared" si="111"/>
        <v>2</v>
      </c>
      <c r="ED34" s="13">
        <f t="shared" si="28"/>
        <v>1261946.0046763332</v>
      </c>
      <c r="EE34" s="14">
        <v>43040</v>
      </c>
      <c r="EG34" s="65">
        <f t="shared" si="112"/>
        <v>10</v>
      </c>
      <c r="EH34" s="13">
        <f t="shared" si="29"/>
        <v>1592920.8595202407</v>
      </c>
      <c r="EI34" s="14">
        <v>43045</v>
      </c>
      <c r="EK34" s="65"/>
      <c r="EL34" s="13"/>
      <c r="EM34" s="14"/>
      <c r="EO34" s="65">
        <f t="shared" si="114"/>
        <v>51</v>
      </c>
      <c r="EP34" s="13">
        <f t="shared" si="31"/>
        <v>1279867.8914145243</v>
      </c>
      <c r="EQ34" s="14">
        <v>43051</v>
      </c>
      <c r="ES34" s="65">
        <f t="shared" si="115"/>
        <v>8</v>
      </c>
      <c r="ET34" s="13">
        <f t="shared" si="32"/>
        <v>1603746.2038108669</v>
      </c>
      <c r="EU34" s="14">
        <v>43051</v>
      </c>
      <c r="EW34" s="65"/>
      <c r="EX34" s="13"/>
      <c r="EY34" s="14"/>
      <c r="FA34" s="65">
        <f t="shared" si="117"/>
        <v>50</v>
      </c>
      <c r="FB34" s="13">
        <f t="shared" si="34"/>
        <v>1259442.4963503133</v>
      </c>
      <c r="FC34" s="14">
        <v>43058</v>
      </c>
      <c r="FE34" s="65">
        <f t="shared" si="118"/>
        <v>45</v>
      </c>
      <c r="FF34" s="13">
        <f t="shared" si="35"/>
        <v>3152746.2728438298</v>
      </c>
      <c r="FG34" s="14">
        <v>43058</v>
      </c>
      <c r="FI34" s="65">
        <f t="shared" si="119"/>
        <v>42</v>
      </c>
      <c r="FJ34" s="13">
        <f t="shared" si="36"/>
        <v>1741114.2262382123</v>
      </c>
      <c r="FK34" s="14">
        <v>43060</v>
      </c>
      <c r="FM34" s="65">
        <f t="shared" si="120"/>
        <v>8</v>
      </c>
      <c r="FN34" s="13">
        <f t="shared" si="37"/>
        <v>1141307.2587718209</v>
      </c>
      <c r="FO34" s="14">
        <v>43065</v>
      </c>
      <c r="FQ34" s="65">
        <f t="shared" si="121"/>
        <v>4</v>
      </c>
      <c r="FR34" s="13">
        <f t="shared" si="38"/>
        <v>1410813.8342778904</v>
      </c>
      <c r="FS34" s="14">
        <v>43065</v>
      </c>
      <c r="FU34" s="65">
        <f t="shared" si="122"/>
        <v>17</v>
      </c>
      <c r="FV34" s="13">
        <f t="shared" si="39"/>
        <v>1905160.1114834277</v>
      </c>
      <c r="FW34" s="14">
        <v>43067</v>
      </c>
      <c r="FY34" s="65">
        <f t="shared" si="123"/>
        <v>3</v>
      </c>
      <c r="FZ34" s="13">
        <f t="shared" si="40"/>
        <v>3947220.4941315777</v>
      </c>
      <c r="GA34" s="14">
        <v>43067</v>
      </c>
      <c r="GC34" s="65">
        <f t="shared" si="124"/>
        <v>7</v>
      </c>
      <c r="GD34" s="13">
        <f t="shared" si="41"/>
        <v>868139.60505527491</v>
      </c>
      <c r="GE34" s="14">
        <v>43068</v>
      </c>
      <c r="GG34" s="65">
        <f t="shared" si="125"/>
        <v>3</v>
      </c>
      <c r="GH34" s="13">
        <f t="shared" si="42"/>
        <v>2841878.0740354937</v>
      </c>
      <c r="GI34" s="14">
        <v>43072</v>
      </c>
      <c r="GK34" s="65"/>
      <c r="GL34" s="13"/>
      <c r="GM34" s="14"/>
      <c r="GO34" s="65">
        <f t="shared" si="127"/>
        <v>4</v>
      </c>
      <c r="GP34" s="13">
        <f t="shared" si="44"/>
        <v>1258636.9592456615</v>
      </c>
      <c r="GQ34" s="14">
        <v>43092</v>
      </c>
      <c r="GS34" s="65">
        <f t="shared" si="128"/>
        <v>9</v>
      </c>
      <c r="GT34" s="13">
        <f t="shared" si="45"/>
        <v>1549479.0632696915</v>
      </c>
      <c r="GU34" s="14">
        <v>43095</v>
      </c>
      <c r="GW34" s="65">
        <f t="shared" si="129"/>
        <v>9</v>
      </c>
      <c r="GX34" s="13">
        <f t="shared" si="46"/>
        <v>923059.58567434608</v>
      </c>
      <c r="GY34" s="14">
        <v>43096</v>
      </c>
      <c r="HA34" s="65">
        <f t="shared" si="130"/>
        <v>9</v>
      </c>
      <c r="HB34" s="13">
        <f t="shared" si="47"/>
        <v>1538478.7496684934</v>
      </c>
      <c r="HC34" s="14">
        <v>43096</v>
      </c>
      <c r="HE34" s="65">
        <f t="shared" si="131"/>
        <v>4</v>
      </c>
      <c r="HF34" s="13">
        <f t="shared" si="48"/>
        <v>1102489.341615442</v>
      </c>
      <c r="HG34" s="14">
        <v>43100</v>
      </c>
      <c r="HI34" s="65"/>
      <c r="HJ34" s="13"/>
      <c r="HK34" s="14"/>
      <c r="HM34" s="65"/>
      <c r="HN34" s="13"/>
      <c r="HO34" s="14"/>
      <c r="HQ34" s="65">
        <f t="shared" si="134"/>
        <v>6</v>
      </c>
      <c r="HR34" s="13">
        <f t="shared" si="51"/>
        <v>3047459.3596434426</v>
      </c>
      <c r="HS34" s="14">
        <v>43102</v>
      </c>
      <c r="HU34" s="65"/>
      <c r="HV34" s="13"/>
      <c r="HW34" s="14"/>
      <c r="HY34" s="65"/>
      <c r="HZ34" s="13"/>
      <c r="IA34" s="14"/>
      <c r="IC34" s="65"/>
      <c r="ID34" s="13"/>
      <c r="IE34" s="14"/>
      <c r="IG34" s="65">
        <f t="shared" si="138"/>
        <v>7</v>
      </c>
      <c r="IH34" s="13">
        <f t="shared" si="55"/>
        <v>1285423.8069359541</v>
      </c>
      <c r="II34" s="14">
        <v>43117</v>
      </c>
      <c r="IK34" s="65">
        <f t="shared" si="139"/>
        <v>15</v>
      </c>
      <c r="IL34" s="13">
        <f t="shared" si="56"/>
        <v>2583753.5838732561</v>
      </c>
      <c r="IM34" s="14">
        <v>43121</v>
      </c>
      <c r="IO34" s="65">
        <f t="shared" si="140"/>
        <v>7</v>
      </c>
      <c r="IP34" s="13">
        <f t="shared" si="57"/>
        <v>1135701.1474914635</v>
      </c>
      <c r="IQ34" s="14">
        <v>43122</v>
      </c>
      <c r="IS34" s="65">
        <f t="shared" si="141"/>
        <v>4</v>
      </c>
      <c r="IT34" s="13">
        <f t="shared" si="58"/>
        <v>1490145.872002583</v>
      </c>
      <c r="IU34" s="14">
        <v>43128</v>
      </c>
      <c r="IW34" s="65">
        <f t="shared" si="142"/>
        <v>8</v>
      </c>
      <c r="IX34" s="13">
        <f t="shared" si="59"/>
        <v>1645815.0004995661</v>
      </c>
      <c r="IY34" s="14">
        <v>43128</v>
      </c>
      <c r="JA34" s="65">
        <f t="shared" si="143"/>
        <v>32</v>
      </c>
      <c r="JB34" s="13">
        <f t="shared" si="60"/>
        <v>987078.6368253167</v>
      </c>
      <c r="JC34" s="14">
        <v>43134</v>
      </c>
      <c r="JE34" s="65">
        <f t="shared" si="144"/>
        <v>15</v>
      </c>
      <c r="JF34" s="13">
        <f t="shared" si="61"/>
        <v>1482466.3501243221</v>
      </c>
      <c r="JG34" s="14">
        <v>43145</v>
      </c>
      <c r="JI34" s="65"/>
      <c r="JJ34" s="13"/>
      <c r="JK34" s="14"/>
      <c r="JM34" s="65">
        <f t="shared" si="146"/>
        <v>3</v>
      </c>
      <c r="JN34" s="13">
        <f t="shared" si="63"/>
        <v>993465.37601087347</v>
      </c>
      <c r="JO34" s="14">
        <v>43150</v>
      </c>
      <c r="JQ34" s="65">
        <f t="shared" si="147"/>
        <v>9</v>
      </c>
      <c r="JR34" s="13">
        <f t="shared" si="64"/>
        <v>1500742.8033110739</v>
      </c>
      <c r="JS34" s="14">
        <v>43151</v>
      </c>
      <c r="JU34" s="65">
        <f t="shared" si="148"/>
        <v>37</v>
      </c>
      <c r="JV34" s="13">
        <f t="shared" si="65"/>
        <v>1651694.2940709798</v>
      </c>
      <c r="JW34" s="14">
        <v>43156</v>
      </c>
      <c r="JY34" s="65">
        <f t="shared" si="149"/>
        <v>15</v>
      </c>
      <c r="JZ34" s="13">
        <f t="shared" si="66"/>
        <v>1482466.3501243221</v>
      </c>
      <c r="KA34" s="14">
        <v>43145</v>
      </c>
      <c r="KC34" s="65"/>
      <c r="KD34" s="13"/>
      <c r="KE34" s="14"/>
      <c r="KG34" s="65">
        <f t="shared" si="151"/>
        <v>3</v>
      </c>
      <c r="KH34" s="13">
        <f t="shared" si="68"/>
        <v>993465.37601087347</v>
      </c>
      <c r="KI34" s="14">
        <v>43150</v>
      </c>
      <c r="KK34" s="65">
        <f t="shared" si="152"/>
        <v>9</v>
      </c>
      <c r="KL34" s="13">
        <f t="shared" si="69"/>
        <v>1500742.8033110739</v>
      </c>
      <c r="KM34" s="14">
        <v>43151</v>
      </c>
      <c r="KO34" s="65"/>
      <c r="KP34" s="13"/>
      <c r="KQ34" s="14"/>
      <c r="KS34" s="65">
        <f t="shared" si="154"/>
        <v>25</v>
      </c>
      <c r="KT34" s="13">
        <f t="shared" si="71"/>
        <v>3307156.2965702335</v>
      </c>
      <c r="KU34" s="14">
        <v>43197</v>
      </c>
      <c r="KW34" s="65">
        <f t="shared" si="155"/>
        <v>16</v>
      </c>
      <c r="KX34" s="13">
        <f t="shared" si="72"/>
        <v>2988556.3731687837</v>
      </c>
      <c r="KY34" s="14">
        <v>43199</v>
      </c>
      <c r="LA34" s="65">
        <f t="shared" si="156"/>
        <v>53</v>
      </c>
      <c r="LB34" s="13">
        <f t="shared" si="73"/>
        <v>2631750.584437137</v>
      </c>
      <c r="LC34" s="14">
        <v>43211</v>
      </c>
      <c r="LE34" s="65"/>
      <c r="LF34" s="13"/>
      <c r="LG34" s="14"/>
      <c r="LI34" s="65">
        <f t="shared" si="158"/>
        <v>13</v>
      </c>
      <c r="LJ34" s="13">
        <f t="shared" si="75"/>
        <v>2484918.504578949</v>
      </c>
      <c r="LK34" s="14">
        <v>43218</v>
      </c>
      <c r="LM34" s="65">
        <f t="shared" si="159"/>
        <v>41</v>
      </c>
      <c r="LN34" s="13">
        <f t="shared" si="76"/>
        <v>743998.188724746</v>
      </c>
      <c r="LO34" s="14">
        <v>43221</v>
      </c>
      <c r="LQ34" s="65">
        <f t="shared" si="160"/>
        <v>10</v>
      </c>
      <c r="LR34" s="13">
        <f t="shared" si="77"/>
        <v>2776693.3854431054</v>
      </c>
      <c r="LS34" s="14">
        <v>43234</v>
      </c>
      <c r="LU34" s="65"/>
      <c r="LV34" s="13"/>
      <c r="LW34" s="14"/>
      <c r="LY34" s="65">
        <f t="shared" si="162"/>
        <v>13</v>
      </c>
      <c r="LZ34" s="13">
        <f t="shared" si="79"/>
        <v>976130.33868748788</v>
      </c>
      <c r="MA34" s="14">
        <v>43246</v>
      </c>
      <c r="MC34" s="65">
        <f t="shared" si="163"/>
        <v>8</v>
      </c>
      <c r="MD34" s="13">
        <f t="shared" si="80"/>
        <v>2865996.7212720611</v>
      </c>
      <c r="ME34" s="14">
        <v>43248</v>
      </c>
      <c r="MG34" s="65">
        <f t="shared" si="164"/>
        <v>3</v>
      </c>
      <c r="MH34" s="13">
        <f t="shared" si="81"/>
        <v>1773718.4700403593</v>
      </c>
      <c r="MI34" s="14">
        <v>43249</v>
      </c>
      <c r="MK34" s="65"/>
      <c r="ML34" s="13"/>
      <c r="MM34" s="14"/>
      <c r="MO34" s="65"/>
      <c r="MP34" s="13"/>
      <c r="MQ34" s="14"/>
      <c r="MS34" s="65"/>
      <c r="MT34" s="13"/>
      <c r="MU34" s="14"/>
    </row>
    <row r="35" spans="1:359" x14ac:dyDescent="0.25">
      <c r="A35" s="15">
        <f t="shared" si="1"/>
        <v>732074.22136538976</v>
      </c>
      <c r="B35" s="20">
        <v>42729</v>
      </c>
      <c r="D35" s="12">
        <v>141</v>
      </c>
      <c r="E35" s="17">
        <v>1140326.8853374324</v>
      </c>
      <c r="F35" s="14">
        <v>42459</v>
      </c>
      <c r="I35" s="12">
        <v>6</v>
      </c>
      <c r="J35" s="17">
        <v>1192004.9368076464</v>
      </c>
      <c r="K35" s="14">
        <v>42501</v>
      </c>
      <c r="N35" s="12">
        <f t="shared" si="85"/>
        <v>71</v>
      </c>
      <c r="O35" s="13">
        <f t="shared" si="2"/>
        <v>732074.22136538976</v>
      </c>
      <c r="P35" s="14">
        <v>42729</v>
      </c>
      <c r="T35" s="15">
        <f t="shared" si="3"/>
        <v>1535813.3626228012</v>
      </c>
      <c r="U35" s="20">
        <v>42978</v>
      </c>
      <c r="W35" s="12">
        <v>141</v>
      </c>
      <c r="X35" s="17">
        <v>1140326.8853374324</v>
      </c>
      <c r="Y35" s="14">
        <v>42459</v>
      </c>
      <c r="AB35" s="12">
        <v>6</v>
      </c>
      <c r="AC35" s="17">
        <v>1192004.9368076464</v>
      </c>
      <c r="AD35" s="14">
        <v>42501</v>
      </c>
      <c r="AG35" s="12">
        <f t="shared" si="86"/>
        <v>6</v>
      </c>
      <c r="AH35" s="13">
        <f t="shared" si="0"/>
        <v>1535813.3626228012</v>
      </c>
      <c r="AI35" s="14">
        <v>42978</v>
      </c>
      <c r="AK35" s="12">
        <f t="shared" si="87"/>
        <v>13</v>
      </c>
      <c r="AL35" s="13">
        <f t="shared" si="4"/>
        <v>1387856.0438921086</v>
      </c>
      <c r="AM35" s="14">
        <v>42985</v>
      </c>
      <c r="AO35" s="12">
        <f t="shared" si="88"/>
        <v>11</v>
      </c>
      <c r="AP35" s="13">
        <f t="shared" si="5"/>
        <v>3654503.793216804</v>
      </c>
      <c r="AQ35" s="14">
        <v>42988</v>
      </c>
      <c r="AS35" s="12">
        <f t="shared" si="89"/>
        <v>1</v>
      </c>
      <c r="AT35" s="13">
        <f t="shared" si="6"/>
        <v>1234798.6236877872</v>
      </c>
      <c r="AU35" s="14">
        <v>42988</v>
      </c>
      <c r="AW35" s="65">
        <f t="shared" si="90"/>
        <v>3</v>
      </c>
      <c r="AX35" s="13">
        <f t="shared" si="7"/>
        <v>697595.67232482624</v>
      </c>
      <c r="AY35" s="14">
        <v>42990</v>
      </c>
      <c r="BA35" s="65">
        <f t="shared" si="91"/>
        <v>0</v>
      </c>
      <c r="BB35" s="13">
        <f>($BC$2/(1+$BC$4*BA35/360))*0</f>
        <v>0</v>
      </c>
      <c r="BC35" s="14">
        <v>42990</v>
      </c>
      <c r="BE35" s="65">
        <f t="shared" si="92"/>
        <v>7</v>
      </c>
      <c r="BF35" s="13">
        <f t="shared" si="9"/>
        <v>1394032.5217894521</v>
      </c>
      <c r="BG35" s="14">
        <v>42991</v>
      </c>
      <c r="BM35" s="65">
        <f t="shared" si="94"/>
        <v>25</v>
      </c>
      <c r="BN35" s="13">
        <f t="shared" si="11"/>
        <v>1864729.7546046313</v>
      </c>
      <c r="BO35" s="14">
        <v>42995</v>
      </c>
      <c r="BQ35" s="65">
        <f t="shared" si="95"/>
        <v>30</v>
      </c>
      <c r="BR35" s="13">
        <f t="shared" si="12"/>
        <v>4293794.8170861723</v>
      </c>
      <c r="BS35" s="14">
        <v>43002</v>
      </c>
      <c r="BU35" s="65"/>
      <c r="BV35" s="13"/>
      <c r="BW35" s="14">
        <v>43011</v>
      </c>
      <c r="BY35" s="65"/>
      <c r="BZ35" s="13"/>
      <c r="CA35" s="14">
        <v>43011</v>
      </c>
      <c r="CC35" s="65">
        <f t="shared" ref="CC35:CC42" si="168">+CC34-1</f>
        <v>7</v>
      </c>
      <c r="CD35" s="13">
        <f t="shared" si="15"/>
        <v>1623882.6256159465</v>
      </c>
      <c r="CE35" s="14">
        <v>43012</v>
      </c>
      <c r="CG35" s="65">
        <f t="shared" si="99"/>
        <v>15</v>
      </c>
      <c r="CH35" s="13">
        <f t="shared" si="16"/>
        <v>973775.18609122012</v>
      </c>
      <c r="CI35" s="14">
        <v>43012</v>
      </c>
      <c r="CK35" s="65">
        <f t="shared" si="100"/>
        <v>39</v>
      </c>
      <c r="CL35" s="13">
        <f t="shared" si="17"/>
        <v>801003.95400090551</v>
      </c>
      <c r="CM35" s="14">
        <v>43016</v>
      </c>
      <c r="CO35" s="65"/>
      <c r="CP35" s="13"/>
      <c r="CQ35" s="14"/>
      <c r="CS35" s="65"/>
      <c r="CT35" s="13"/>
      <c r="CU35" s="14"/>
      <c r="CW35" s="65">
        <f t="shared" si="103"/>
        <v>21</v>
      </c>
      <c r="CX35" s="13">
        <f t="shared" si="20"/>
        <v>2548182.858893808</v>
      </c>
      <c r="CY35" s="14">
        <v>43020</v>
      </c>
      <c r="DA35" s="65">
        <f t="shared" si="104"/>
        <v>1</v>
      </c>
      <c r="DB35" s="13">
        <f t="shared" si="21"/>
        <v>2813423.0599476467</v>
      </c>
      <c r="DC35" s="14">
        <v>43025</v>
      </c>
      <c r="DE35" s="65">
        <f t="shared" si="105"/>
        <v>20</v>
      </c>
      <c r="DF35" s="13">
        <f t="shared" si="22"/>
        <v>3200432.1476550833</v>
      </c>
      <c r="DG35" s="14">
        <v>43026</v>
      </c>
      <c r="DI35" s="65"/>
      <c r="DJ35" s="13"/>
      <c r="DK35" s="14"/>
      <c r="DM35" s="65"/>
      <c r="DN35" s="13"/>
      <c r="DO35" s="14"/>
      <c r="DQ35" s="65"/>
      <c r="DR35" s="13"/>
      <c r="DS35" s="14"/>
      <c r="DU35" s="65">
        <f t="shared" si="109"/>
        <v>65</v>
      </c>
      <c r="DV35" s="13">
        <f t="shared" si="26"/>
        <v>2331141.6730062454</v>
      </c>
      <c r="DW35" s="14">
        <v>43037</v>
      </c>
      <c r="DY35" s="65">
        <f t="shared" si="110"/>
        <v>76</v>
      </c>
      <c r="DZ35" s="13">
        <f t="shared" si="27"/>
        <v>792318.15070161771</v>
      </c>
      <c r="EA35" s="14">
        <v>43040</v>
      </c>
      <c r="EC35" s="65">
        <f t="shared" si="111"/>
        <v>1</v>
      </c>
      <c r="ED35" s="13">
        <f t="shared" si="28"/>
        <v>1262007.2665874213</v>
      </c>
      <c r="EE35" s="14">
        <v>43041</v>
      </c>
      <c r="EG35" s="65">
        <f t="shared" si="112"/>
        <v>9</v>
      </c>
      <c r="EH35" s="13">
        <f t="shared" si="29"/>
        <v>1593006.5210063509</v>
      </c>
      <c r="EI35" s="14">
        <v>43046</v>
      </c>
      <c r="EK35" s="65"/>
      <c r="EL35" s="13"/>
      <c r="EM35" s="14"/>
      <c r="EO35" s="65">
        <f t="shared" si="114"/>
        <v>50</v>
      </c>
      <c r="EP35" s="13">
        <f t="shared" si="31"/>
        <v>1279942.7533567864</v>
      </c>
      <c r="EQ35" s="14">
        <v>43052</v>
      </c>
      <c r="ES35" s="65">
        <f t="shared" si="115"/>
        <v>7</v>
      </c>
      <c r="ET35" s="13">
        <f t="shared" si="32"/>
        <v>1603839.4624576017</v>
      </c>
      <c r="EU35" s="14">
        <v>43052</v>
      </c>
      <c r="EW35" s="65"/>
      <c r="EX35" s="13"/>
      <c r="EY35" s="14"/>
      <c r="FA35" s="65">
        <f t="shared" si="117"/>
        <v>49</v>
      </c>
      <c r="FB35" s="13">
        <f t="shared" si="34"/>
        <v>1259517.5155130683</v>
      </c>
      <c r="FC35" s="14">
        <v>43059</v>
      </c>
      <c r="FE35" s="65">
        <f t="shared" si="118"/>
        <v>44</v>
      </c>
      <c r="FF35" s="13">
        <f t="shared" si="35"/>
        <v>3152922.7222616272</v>
      </c>
      <c r="FG35" s="14">
        <v>43059</v>
      </c>
      <c r="FI35" s="65">
        <f t="shared" si="119"/>
        <v>41</v>
      </c>
      <c r="FJ35" s="13">
        <f t="shared" si="36"/>
        <v>1741220.4882156306</v>
      </c>
      <c r="FK35" s="14">
        <v>43061</v>
      </c>
      <c r="FM35" s="65">
        <f t="shared" si="120"/>
        <v>7</v>
      </c>
      <c r="FN35" s="13">
        <f t="shared" si="37"/>
        <v>1141375.0804445511</v>
      </c>
      <c r="FO35" s="14">
        <v>43066</v>
      </c>
      <c r="FQ35" s="65">
        <f t="shared" si="121"/>
        <v>3</v>
      </c>
      <c r="FR35" s="13">
        <f t="shared" si="38"/>
        <v>1410896.587987144</v>
      </c>
      <c r="FS35" s="14">
        <v>43066</v>
      </c>
      <c r="FU35" s="65">
        <f t="shared" si="122"/>
        <v>16</v>
      </c>
      <c r="FV35" s="13">
        <f t="shared" si="39"/>
        <v>1905273.0084232013</v>
      </c>
      <c r="FW35" s="14">
        <v>43068</v>
      </c>
      <c r="FY35" s="65">
        <f t="shared" si="123"/>
        <v>2</v>
      </c>
      <c r="FZ35" s="13">
        <f t="shared" si="40"/>
        <v>3947442.9302943978</v>
      </c>
      <c r="GA35" s="14">
        <v>43068</v>
      </c>
      <c r="GC35" s="65">
        <f t="shared" si="124"/>
        <v>6</v>
      </c>
      <c r="GD35" s="13">
        <f t="shared" si="41"/>
        <v>868188.28383594158</v>
      </c>
      <c r="GE35" s="14">
        <v>43069</v>
      </c>
      <c r="GG35" s="65">
        <f t="shared" si="125"/>
        <v>2</v>
      </c>
      <c r="GH35" s="13">
        <f t="shared" si="42"/>
        <v>2842033.5724239508</v>
      </c>
      <c r="GI35" s="14">
        <v>43073</v>
      </c>
      <c r="GK35" s="65"/>
      <c r="GL35" s="13"/>
      <c r="GM35" s="14"/>
      <c r="GO35" s="65">
        <f t="shared" si="127"/>
        <v>3</v>
      </c>
      <c r="GP35" s="13">
        <f t="shared" si="44"/>
        <v>1258740.0474547253</v>
      </c>
      <c r="GQ35" s="14">
        <v>43093</v>
      </c>
      <c r="GS35" s="65">
        <f t="shared" si="128"/>
        <v>8</v>
      </c>
      <c r="GT35" s="13">
        <f t="shared" si="45"/>
        <v>1549603.9708252107</v>
      </c>
      <c r="GU35" s="14">
        <v>43096</v>
      </c>
      <c r="GW35" s="65">
        <f t="shared" si="129"/>
        <v>8</v>
      </c>
      <c r="GX35" s="13">
        <f t="shared" si="46"/>
        <v>923130.94336999173</v>
      </c>
      <c r="GY35" s="14">
        <v>43097</v>
      </c>
      <c r="HA35" s="65">
        <f t="shared" si="130"/>
        <v>8</v>
      </c>
      <c r="HB35" s="13">
        <f t="shared" si="47"/>
        <v>1538592.5611414926</v>
      </c>
      <c r="HC35" s="14">
        <v>43097</v>
      </c>
      <c r="HE35" s="65">
        <f t="shared" si="131"/>
        <v>3</v>
      </c>
      <c r="HF35" s="13">
        <f t="shared" si="48"/>
        <v>1102572.7185012153</v>
      </c>
      <c r="HG35" s="14">
        <v>43101</v>
      </c>
      <c r="HI35" s="65"/>
      <c r="HJ35" s="13"/>
      <c r="HK35" s="14"/>
      <c r="HM35" s="65"/>
      <c r="HN35" s="13"/>
      <c r="HO35" s="14"/>
      <c r="HQ35" s="65">
        <f t="shared" si="134"/>
        <v>5</v>
      </c>
      <c r="HR35" s="13">
        <f t="shared" si="51"/>
        <v>3047733.6515159658</v>
      </c>
      <c r="HS35" s="14">
        <v>43103</v>
      </c>
      <c r="HU35" s="65"/>
      <c r="HV35" s="13"/>
      <c r="HW35" s="14"/>
      <c r="HY35" s="65"/>
      <c r="HZ35" s="13"/>
      <c r="IA35" s="14"/>
      <c r="IC35" s="65"/>
      <c r="ID35" s="13"/>
      <c r="IE35" s="14"/>
      <c r="IG35" s="65">
        <f t="shared" si="138"/>
        <v>6</v>
      </c>
      <c r="IH35" s="13">
        <f t="shared" si="55"/>
        <v>1285530.8720539731</v>
      </c>
      <c r="II35" s="14">
        <v>43118</v>
      </c>
      <c r="IK35" s="65">
        <f t="shared" si="139"/>
        <v>14</v>
      </c>
      <c r="IL35" s="13">
        <f t="shared" si="56"/>
        <v>2583971.7058383017</v>
      </c>
      <c r="IM35" s="14">
        <v>43122</v>
      </c>
      <c r="IO35" s="65">
        <f t="shared" si="140"/>
        <v>6</v>
      </c>
      <c r="IP35" s="13">
        <f t="shared" si="57"/>
        <v>1135795.741956522</v>
      </c>
      <c r="IQ35" s="14">
        <v>43123</v>
      </c>
      <c r="IS35" s="65">
        <f t="shared" si="141"/>
        <v>3</v>
      </c>
      <c r="IT35" s="13">
        <f t="shared" si="58"/>
        <v>1490239.669682004</v>
      </c>
      <c r="IU35" s="14">
        <v>43129</v>
      </c>
      <c r="IW35" s="65">
        <f t="shared" si="142"/>
        <v>7</v>
      </c>
      <c r="IX35" s="13">
        <f t="shared" si="59"/>
        <v>1645917.1606797476</v>
      </c>
      <c r="IY35" s="14">
        <v>43129</v>
      </c>
      <c r="JA35" s="65">
        <f t="shared" si="143"/>
        <v>31</v>
      </c>
      <c r="JB35" s="13">
        <f t="shared" si="60"/>
        <v>987131.12657403771</v>
      </c>
      <c r="JC35" s="14">
        <v>43135</v>
      </c>
      <c r="JE35" s="65">
        <f t="shared" si="144"/>
        <v>14</v>
      </c>
      <c r="JF35" s="13">
        <f t="shared" si="61"/>
        <v>1482542.2826874461</v>
      </c>
      <c r="JG35" s="14">
        <v>43146</v>
      </c>
      <c r="JI35" s="65"/>
      <c r="JJ35" s="13"/>
      <c r="JK35" s="14"/>
      <c r="JM35" s="65">
        <f t="shared" si="146"/>
        <v>2</v>
      </c>
      <c r="JN35" s="13">
        <f t="shared" si="63"/>
        <v>993518.32617708889</v>
      </c>
      <c r="JO35" s="14">
        <v>43151</v>
      </c>
      <c r="JQ35" s="65">
        <f t="shared" si="147"/>
        <v>8</v>
      </c>
      <c r="JR35" s="13">
        <f t="shared" si="64"/>
        <v>1500829.8456863996</v>
      </c>
      <c r="JS35" s="14">
        <v>43152</v>
      </c>
      <c r="JU35" s="65">
        <f t="shared" si="148"/>
        <v>36</v>
      </c>
      <c r="JV35" s="13">
        <f t="shared" si="65"/>
        <v>1651796.7080893882</v>
      </c>
      <c r="JW35" s="14">
        <v>43157</v>
      </c>
      <c r="JY35" s="65">
        <f t="shared" si="149"/>
        <v>14</v>
      </c>
      <c r="JZ35" s="13">
        <f t="shared" si="66"/>
        <v>1482542.2826874461</v>
      </c>
      <c r="KA35" s="14">
        <v>43146</v>
      </c>
      <c r="KC35" s="65"/>
      <c r="KD35" s="13"/>
      <c r="KE35" s="14"/>
      <c r="KG35" s="65">
        <f t="shared" si="151"/>
        <v>2</v>
      </c>
      <c r="KH35" s="13">
        <f t="shared" si="68"/>
        <v>993518.32617708889</v>
      </c>
      <c r="KI35" s="14">
        <v>43151</v>
      </c>
      <c r="KK35" s="65">
        <f t="shared" si="152"/>
        <v>8</v>
      </c>
      <c r="KL35" s="13">
        <f t="shared" si="69"/>
        <v>1500829.8456863996</v>
      </c>
      <c r="KM35" s="14">
        <v>43152</v>
      </c>
      <c r="KO35" s="65"/>
      <c r="KP35" s="13"/>
      <c r="KQ35" s="14"/>
      <c r="KS35" s="65">
        <f t="shared" si="154"/>
        <v>24</v>
      </c>
      <c r="KT35" s="13">
        <f t="shared" si="71"/>
        <v>3307368.3100866275</v>
      </c>
      <c r="KU35" s="14">
        <v>43198</v>
      </c>
      <c r="KW35" s="65">
        <f t="shared" si="155"/>
        <v>15</v>
      </c>
      <c r="KX35" s="13">
        <f t="shared" si="72"/>
        <v>2988741.6783823529</v>
      </c>
      <c r="KY35" s="14">
        <v>43200</v>
      </c>
      <c r="LA35" s="65">
        <f t="shared" si="156"/>
        <v>52</v>
      </c>
      <c r="LB35" s="13">
        <f t="shared" si="73"/>
        <v>2631951.5507960599</v>
      </c>
      <c r="LC35" s="14">
        <v>43212</v>
      </c>
      <c r="LE35" s="65"/>
      <c r="LF35" s="13"/>
      <c r="LG35" s="14"/>
      <c r="LI35" s="65">
        <f t="shared" si="158"/>
        <v>12</v>
      </c>
      <c r="LJ35" s="13">
        <f t="shared" si="75"/>
        <v>2485089.9948585718</v>
      </c>
      <c r="LK35" s="14">
        <v>43219</v>
      </c>
      <c r="LM35" s="65">
        <f t="shared" si="159"/>
        <v>40</v>
      </c>
      <c r="LN35" s="13">
        <f t="shared" si="76"/>
        <v>744051.30123640294</v>
      </c>
      <c r="LO35" s="14">
        <v>43222</v>
      </c>
      <c r="LQ35" s="65">
        <f t="shared" si="160"/>
        <v>9</v>
      </c>
      <c r="LR35" s="13">
        <f t="shared" si="77"/>
        <v>2776871.8853218434</v>
      </c>
      <c r="LS35" s="14">
        <v>43235</v>
      </c>
      <c r="LU35" s="65"/>
      <c r="LV35" s="13"/>
      <c r="LW35" s="14"/>
      <c r="LY35" s="65">
        <f t="shared" si="162"/>
        <v>12</v>
      </c>
      <c r="LZ35" s="13">
        <f t="shared" si="79"/>
        <v>976196.55430722877</v>
      </c>
      <c r="MA35" s="14">
        <v>43247</v>
      </c>
      <c r="MC35" s="65">
        <f t="shared" si="163"/>
        <v>7</v>
      </c>
      <c r="MD35" s="13">
        <f t="shared" si="80"/>
        <v>2866179.5178799829</v>
      </c>
      <c r="ME35" s="14">
        <v>43249</v>
      </c>
      <c r="MG35" s="65">
        <f t="shared" si="164"/>
        <v>2</v>
      </c>
      <c r="MH35" s="13">
        <f t="shared" si="81"/>
        <v>1773838.6603057317</v>
      </c>
      <c r="MI35" s="14">
        <v>43250</v>
      </c>
      <c r="MK35" s="65"/>
      <c r="ML35" s="13"/>
      <c r="MM35" s="14"/>
      <c r="MO35" s="65"/>
      <c r="MP35" s="13"/>
      <c r="MQ35" s="14"/>
      <c r="MS35" s="65"/>
      <c r="MT35" s="13"/>
      <c r="MU35" s="14"/>
    </row>
    <row r="36" spans="1:359" x14ac:dyDescent="0.25">
      <c r="A36" s="15">
        <f t="shared" si="1"/>
        <v>732103.5231070763</v>
      </c>
      <c r="B36" s="20">
        <v>42730</v>
      </c>
      <c r="D36" s="12">
        <v>140</v>
      </c>
      <c r="E36" s="17">
        <v>1140354.0136513808</v>
      </c>
      <c r="F36" s="14">
        <v>42460</v>
      </c>
      <c r="I36" s="12">
        <v>5</v>
      </c>
      <c r="J36" s="17">
        <v>1192019.1930983679</v>
      </c>
      <c r="K36" s="14">
        <v>42502</v>
      </c>
      <c r="N36" s="12">
        <f t="shared" si="85"/>
        <v>70</v>
      </c>
      <c r="O36" s="13">
        <f t="shared" si="2"/>
        <v>732103.5231070763</v>
      </c>
      <c r="P36" s="14">
        <v>42730</v>
      </c>
      <c r="T36" s="15">
        <f t="shared" si="3"/>
        <v>1535892.2831470652</v>
      </c>
      <c r="U36" s="20">
        <v>42979</v>
      </c>
      <c r="W36" s="12">
        <v>140</v>
      </c>
      <c r="X36" s="17">
        <v>1140354.0136513808</v>
      </c>
      <c r="Y36" s="14">
        <v>42460</v>
      </c>
      <c r="AB36" s="12">
        <v>5</v>
      </c>
      <c r="AC36" s="17">
        <v>1192019.1930983679</v>
      </c>
      <c r="AD36" s="14">
        <v>42502</v>
      </c>
      <c r="AG36" s="12">
        <f t="shared" si="86"/>
        <v>5</v>
      </c>
      <c r="AH36" s="13">
        <f t="shared" si="0"/>
        <v>1535892.2831470652</v>
      </c>
      <c r="AI36" s="14">
        <v>42979</v>
      </c>
      <c r="AK36" s="12">
        <f t="shared" si="87"/>
        <v>12</v>
      </c>
      <c r="AL36" s="13">
        <f t="shared" si="4"/>
        <v>1387925.5606562982</v>
      </c>
      <c r="AM36" s="14">
        <v>42986</v>
      </c>
      <c r="AO36" s="12">
        <f t="shared" si="88"/>
        <v>10</v>
      </c>
      <c r="AP36" s="13">
        <f t="shared" si="5"/>
        <v>3654703.1533106156</v>
      </c>
      <c r="AQ36" s="14">
        <v>42989</v>
      </c>
      <c r="AS36" s="12">
        <f t="shared" si="89"/>
        <v>0</v>
      </c>
      <c r="AT36" s="13">
        <f>($AU$2/(1+$AU$4*AS36/360))*0</f>
        <v>0</v>
      </c>
      <c r="AU36" s="14">
        <v>42989</v>
      </c>
      <c r="AW36" s="65">
        <f t="shared" si="90"/>
        <v>2</v>
      </c>
      <c r="AX36" s="13">
        <f t="shared" si="7"/>
        <v>697632.73375668935</v>
      </c>
      <c r="AY36" s="14">
        <v>42991</v>
      </c>
      <c r="BE36" s="65">
        <f t="shared" si="92"/>
        <v>6</v>
      </c>
      <c r="BF36" s="13">
        <f t="shared" si="9"/>
        <v>1394112.4313892608</v>
      </c>
      <c r="BG36" s="14">
        <v>42992</v>
      </c>
      <c r="BM36" s="65">
        <f t="shared" si="94"/>
        <v>24</v>
      </c>
      <c r="BN36" s="13">
        <f t="shared" si="11"/>
        <v>1864828.8471843812</v>
      </c>
      <c r="BO36" s="14">
        <v>42996</v>
      </c>
      <c r="BQ36" s="65">
        <f t="shared" si="95"/>
        <v>29</v>
      </c>
      <c r="BR36" s="13">
        <f t="shared" si="12"/>
        <v>4294094.6810842268</v>
      </c>
      <c r="BS36" s="14">
        <v>43003</v>
      </c>
      <c r="BU36" s="65"/>
      <c r="BV36" s="13"/>
      <c r="BW36" s="14">
        <v>43012</v>
      </c>
      <c r="BY36" s="65"/>
      <c r="BZ36" s="13"/>
      <c r="CA36" s="14">
        <v>43012</v>
      </c>
      <c r="CC36" s="65">
        <f t="shared" si="168"/>
        <v>6</v>
      </c>
      <c r="CD36" s="13">
        <f t="shared" si="15"/>
        <v>1623953.4707782525</v>
      </c>
      <c r="CE36" s="14">
        <v>43013</v>
      </c>
      <c r="CG36" s="65">
        <f t="shared" si="99"/>
        <v>14</v>
      </c>
      <c r="CH36" s="13">
        <f t="shared" si="16"/>
        <v>973818.24251977657</v>
      </c>
      <c r="CI36" s="14">
        <v>43013</v>
      </c>
      <c r="CK36" s="65">
        <f t="shared" si="100"/>
        <v>38</v>
      </c>
      <c r="CL36" s="13">
        <f t="shared" si="17"/>
        <v>801041.68384503573</v>
      </c>
      <c r="CM36" s="14">
        <v>43017</v>
      </c>
      <c r="CO36" s="65"/>
      <c r="CP36" s="13"/>
      <c r="CQ36" s="14"/>
      <c r="CS36" s="65"/>
      <c r="CT36" s="13"/>
      <c r="CU36" s="14"/>
      <c r="CW36" s="65">
        <f t="shared" si="103"/>
        <v>20</v>
      </c>
      <c r="CX36" s="13">
        <f t="shared" si="20"/>
        <v>2548296.5774408453</v>
      </c>
      <c r="CY36" s="14">
        <v>43021</v>
      </c>
      <c r="DA36" s="65">
        <f t="shared" si="104"/>
        <v>0</v>
      </c>
      <c r="DB36" s="13">
        <f>($DC$2/(1+$DC$4*DA36/360))*0</f>
        <v>0</v>
      </c>
      <c r="DC36" s="14">
        <v>43026</v>
      </c>
      <c r="DE36" s="65">
        <f t="shared" si="105"/>
        <v>19</v>
      </c>
      <c r="DF36" s="13">
        <f t="shared" si="22"/>
        <v>3200589.7935853885</v>
      </c>
      <c r="DG36" s="14">
        <v>43027</v>
      </c>
      <c r="DI36" s="65"/>
      <c r="DJ36" s="13"/>
      <c r="DK36" s="14"/>
      <c r="DM36" s="65"/>
      <c r="DN36" s="13"/>
      <c r="DO36" s="14"/>
      <c r="DQ36" s="65"/>
      <c r="DR36" s="13"/>
      <c r="DS36" s="14"/>
      <c r="DU36" s="65">
        <f t="shared" si="109"/>
        <v>64</v>
      </c>
      <c r="DV36" s="13">
        <f t="shared" si="26"/>
        <v>2331256.5796385254</v>
      </c>
      <c r="DW36" s="14">
        <v>43038</v>
      </c>
      <c r="DY36" s="65">
        <f t="shared" si="110"/>
        <v>75</v>
      </c>
      <c r="DZ36" s="13">
        <f t="shared" si="27"/>
        <v>792359.61250101042</v>
      </c>
      <c r="EA36" s="14">
        <v>43041</v>
      </c>
      <c r="EC36" s="65">
        <f t="shared" si="111"/>
        <v>0</v>
      </c>
      <c r="ED36" s="13">
        <f>($EE$2/(1+$EE$4*EC36/360))*0</f>
        <v>0</v>
      </c>
      <c r="EE36" s="14">
        <v>43042</v>
      </c>
      <c r="EG36" s="65">
        <f t="shared" si="112"/>
        <v>8</v>
      </c>
      <c r="EH36" s="13">
        <f t="shared" si="29"/>
        <v>1593092.1917060828</v>
      </c>
      <c r="EI36" s="14">
        <v>43047</v>
      </c>
      <c r="EK36" s="65"/>
      <c r="EL36" s="13"/>
      <c r="EM36" s="14"/>
      <c r="EO36" s="65">
        <f t="shared" si="114"/>
        <v>49</v>
      </c>
      <c r="EP36" s="13">
        <f t="shared" si="31"/>
        <v>1280017.6240572003</v>
      </c>
      <c r="EQ36" s="14">
        <v>43053</v>
      </c>
      <c r="ES36" s="65">
        <f t="shared" si="115"/>
        <v>6</v>
      </c>
      <c r="ET36" s="13">
        <f t="shared" si="32"/>
        <v>1603932.7319510414</v>
      </c>
      <c r="EU36" s="14">
        <v>43053</v>
      </c>
      <c r="EW36" s="65"/>
      <c r="EX36" s="13"/>
      <c r="EY36" s="14"/>
      <c r="FA36" s="65">
        <f t="shared" si="117"/>
        <v>48</v>
      </c>
      <c r="FB36" s="13">
        <f t="shared" si="34"/>
        <v>1259592.5436134443</v>
      </c>
      <c r="FC36" s="14">
        <v>43060</v>
      </c>
      <c r="FE36" s="65">
        <f t="shared" si="118"/>
        <v>43</v>
      </c>
      <c r="FF36" s="13">
        <f t="shared" si="35"/>
        <v>3153099.1914311815</v>
      </c>
      <c r="FG36" s="14">
        <v>43060</v>
      </c>
      <c r="FI36" s="65">
        <f t="shared" si="119"/>
        <v>40</v>
      </c>
      <c r="FJ36" s="13">
        <f t="shared" si="36"/>
        <v>1741326.7631643943</v>
      </c>
      <c r="FK36" s="14">
        <v>43062</v>
      </c>
      <c r="FM36" s="65">
        <f t="shared" si="120"/>
        <v>6</v>
      </c>
      <c r="FN36" s="13">
        <f t="shared" si="37"/>
        <v>1141442.9101783049</v>
      </c>
      <c r="FO36" s="14">
        <v>43067</v>
      </c>
      <c r="FQ36" s="65">
        <f t="shared" si="121"/>
        <v>2</v>
      </c>
      <c r="FR36" s="13">
        <f t="shared" si="38"/>
        <v>1410979.351405089</v>
      </c>
      <c r="FS36" s="14">
        <v>43067</v>
      </c>
      <c r="FU36" s="65">
        <f t="shared" si="122"/>
        <v>15</v>
      </c>
      <c r="FV36" s="13">
        <f t="shared" si="39"/>
        <v>1905385.918743975</v>
      </c>
      <c r="FW36" s="14">
        <v>43069</v>
      </c>
      <c r="FY36" s="65">
        <f t="shared" si="123"/>
        <v>1</v>
      </c>
      <c r="FZ36" s="13">
        <f t="shared" si="40"/>
        <v>3947665.3915283461</v>
      </c>
      <c r="GA36" s="14">
        <v>43069</v>
      </c>
      <c r="GC36" s="65">
        <f t="shared" si="124"/>
        <v>5</v>
      </c>
      <c r="GD36" s="13">
        <f t="shared" si="41"/>
        <v>868236.96807599871</v>
      </c>
      <c r="GE36" s="14">
        <v>43070</v>
      </c>
      <c r="GG36" s="65">
        <f t="shared" si="125"/>
        <v>1</v>
      </c>
      <c r="GH36" s="13">
        <f t="shared" si="42"/>
        <v>2842189.0878300774</v>
      </c>
      <c r="GI36" s="14">
        <v>43074</v>
      </c>
      <c r="GK36" s="65"/>
      <c r="GL36" s="13"/>
      <c r="GM36" s="14"/>
      <c r="GO36" s="65">
        <f t="shared" si="127"/>
        <v>2</v>
      </c>
      <c r="GP36" s="13">
        <f t="shared" si="44"/>
        <v>1258843.1525519774</v>
      </c>
      <c r="GQ36" s="14">
        <v>43094</v>
      </c>
      <c r="GS36" s="65">
        <f t="shared" si="128"/>
        <v>7</v>
      </c>
      <c r="GT36" s="13">
        <f t="shared" si="45"/>
        <v>1549728.8985206019</v>
      </c>
      <c r="GU36" s="14">
        <v>43097</v>
      </c>
      <c r="GW36" s="65">
        <f t="shared" si="129"/>
        <v>7</v>
      </c>
      <c r="GX36" s="13">
        <f t="shared" si="46"/>
        <v>923202.31209919264</v>
      </c>
      <c r="GY36" s="14">
        <v>43098</v>
      </c>
      <c r="HA36" s="65">
        <f t="shared" si="130"/>
        <v>7</v>
      </c>
      <c r="HB36" s="13">
        <f t="shared" si="47"/>
        <v>1538706.3894545157</v>
      </c>
      <c r="HC36" s="14">
        <v>43098</v>
      </c>
      <c r="HE36" s="65">
        <f t="shared" si="131"/>
        <v>2</v>
      </c>
      <c r="HF36" s="13">
        <f t="shared" si="48"/>
        <v>1102656.1079988675</v>
      </c>
      <c r="HG36" s="14">
        <v>43102</v>
      </c>
      <c r="HI36" s="65"/>
      <c r="HJ36" s="13"/>
      <c r="HK36" s="14"/>
      <c r="HM36" s="65"/>
      <c r="HN36" s="13"/>
      <c r="HO36" s="14"/>
      <c r="HQ36" s="65">
        <f t="shared" si="134"/>
        <v>4</v>
      </c>
      <c r="HR36" s="13">
        <f t="shared" si="51"/>
        <v>3048007.9927691673</v>
      </c>
      <c r="HS36" s="14">
        <v>43104</v>
      </c>
      <c r="HU36" s="65"/>
      <c r="HV36" s="13"/>
      <c r="HW36" s="14"/>
      <c r="HY36" s="65"/>
      <c r="HZ36" s="13"/>
      <c r="IA36" s="14"/>
      <c r="IC36" s="65"/>
      <c r="ID36" s="13"/>
      <c r="IE36" s="14"/>
      <c r="IG36" s="65">
        <f t="shared" si="138"/>
        <v>5</v>
      </c>
      <c r="IH36" s="13">
        <f t="shared" si="55"/>
        <v>1285637.9550087464</v>
      </c>
      <c r="II36" s="14">
        <v>43119</v>
      </c>
      <c r="IK36" s="65">
        <f t="shared" si="139"/>
        <v>13</v>
      </c>
      <c r="IL36" s="13">
        <f t="shared" si="56"/>
        <v>2584189.8646344203</v>
      </c>
      <c r="IM36" s="14">
        <v>43123</v>
      </c>
      <c r="IO36" s="65">
        <f t="shared" si="140"/>
        <v>5</v>
      </c>
      <c r="IP36" s="13">
        <f t="shared" si="57"/>
        <v>1135890.352180758</v>
      </c>
      <c r="IQ36" s="14">
        <v>43124</v>
      </c>
      <c r="IS36" s="65">
        <f t="shared" si="141"/>
        <v>2</v>
      </c>
      <c r="IT36" s="13">
        <f t="shared" si="58"/>
        <v>1490333.4791704144</v>
      </c>
      <c r="IU36" s="14">
        <v>43130</v>
      </c>
      <c r="IW36" s="65">
        <f t="shared" si="142"/>
        <v>6</v>
      </c>
      <c r="IX36" s="13">
        <f t="shared" si="59"/>
        <v>1646019.3335434329</v>
      </c>
      <c r="IY36" s="14">
        <v>43130</v>
      </c>
      <c r="JA36" s="65">
        <f t="shared" si="143"/>
        <v>30</v>
      </c>
      <c r="JB36" s="13">
        <f t="shared" si="60"/>
        <v>987183.62190553616</v>
      </c>
      <c r="JC36" s="14">
        <v>43136</v>
      </c>
      <c r="JE36" s="65">
        <f t="shared" si="144"/>
        <v>13</v>
      </c>
      <c r="JF36" s="13">
        <f t="shared" si="61"/>
        <v>1482618.2230295655</v>
      </c>
      <c r="JG36" s="14">
        <v>43147</v>
      </c>
      <c r="JI36" s="65"/>
      <c r="JJ36" s="13"/>
      <c r="JK36" s="14"/>
      <c r="JM36" s="65">
        <f t="shared" si="146"/>
        <v>1</v>
      </c>
      <c r="JN36" s="13">
        <f t="shared" si="63"/>
        <v>993571.28198792902</v>
      </c>
      <c r="JO36" s="14">
        <v>43152</v>
      </c>
      <c r="JQ36" s="65">
        <f t="shared" si="147"/>
        <v>7</v>
      </c>
      <c r="JR36" s="13">
        <f t="shared" si="64"/>
        <v>1500916.8981591447</v>
      </c>
      <c r="JS36" s="14">
        <v>43153</v>
      </c>
      <c r="JU36" s="65">
        <f t="shared" si="148"/>
        <v>35</v>
      </c>
      <c r="JV36" s="13">
        <f t="shared" si="65"/>
        <v>1651899.1348090351</v>
      </c>
      <c r="JW36" s="14">
        <v>43158</v>
      </c>
      <c r="JY36" s="65">
        <f t="shared" si="149"/>
        <v>13</v>
      </c>
      <c r="JZ36" s="13">
        <f t="shared" si="66"/>
        <v>1482618.2230295655</v>
      </c>
      <c r="KA36" s="14">
        <v>43147</v>
      </c>
      <c r="KC36" s="65"/>
      <c r="KD36" s="13"/>
      <c r="KE36" s="14"/>
      <c r="KG36" s="65">
        <f t="shared" si="151"/>
        <v>1</v>
      </c>
      <c r="KH36" s="13">
        <f t="shared" si="68"/>
        <v>993571.28198792902</v>
      </c>
      <c r="KI36" s="14">
        <v>43152</v>
      </c>
      <c r="KK36" s="65">
        <f t="shared" si="152"/>
        <v>7</v>
      </c>
      <c r="KL36" s="13">
        <f t="shared" si="69"/>
        <v>1500916.8981591447</v>
      </c>
      <c r="KM36" s="14">
        <v>43153</v>
      </c>
      <c r="KO36" s="65"/>
      <c r="KP36" s="13"/>
      <c r="KQ36" s="14"/>
      <c r="KS36" s="65">
        <f t="shared" si="154"/>
        <v>23</v>
      </c>
      <c r="KT36" s="13">
        <f t="shared" si="71"/>
        <v>3307580.3507880764</v>
      </c>
      <c r="KU36" s="14">
        <v>43199</v>
      </c>
      <c r="KW36" s="65">
        <f t="shared" si="155"/>
        <v>14</v>
      </c>
      <c r="KX36" s="13">
        <f t="shared" si="72"/>
        <v>2988927.0065770182</v>
      </c>
      <c r="KY36" s="14">
        <v>43201</v>
      </c>
      <c r="LA36" s="65">
        <f t="shared" si="156"/>
        <v>51</v>
      </c>
      <c r="LB36" s="13">
        <f t="shared" si="73"/>
        <v>2632152.547849807</v>
      </c>
      <c r="LC36" s="14">
        <v>43213</v>
      </c>
      <c r="LE36" s="65"/>
      <c r="LF36" s="13"/>
      <c r="LG36" s="14"/>
      <c r="LI36" s="65">
        <f t="shared" si="158"/>
        <v>11</v>
      </c>
      <c r="LJ36" s="13">
        <f t="shared" si="75"/>
        <v>2485261.5088097514</v>
      </c>
      <c r="LK36" s="14">
        <v>43220</v>
      </c>
      <c r="LM36" s="65">
        <f t="shared" si="159"/>
        <v>39</v>
      </c>
      <c r="LN36" s="13">
        <f t="shared" si="76"/>
        <v>744104.42133178888</v>
      </c>
      <c r="LO36" s="14">
        <v>43223</v>
      </c>
      <c r="LQ36" s="65">
        <f t="shared" si="160"/>
        <v>8</v>
      </c>
      <c r="LR36" s="13">
        <f t="shared" si="77"/>
        <v>2777050.4081518059</v>
      </c>
      <c r="LS36" s="14">
        <v>43236</v>
      </c>
      <c r="LU36" s="65"/>
      <c r="LV36" s="13"/>
      <c r="LW36" s="14"/>
      <c r="LY36" s="65">
        <f t="shared" si="162"/>
        <v>11</v>
      </c>
      <c r="LZ36" s="13">
        <f t="shared" si="79"/>
        <v>976262.77891102759</v>
      </c>
      <c r="MA36" s="14">
        <v>43248</v>
      </c>
      <c r="MC36" s="65">
        <f t="shared" si="163"/>
        <v>6</v>
      </c>
      <c r="MD36" s="13">
        <f t="shared" si="80"/>
        <v>2866362.3378073522</v>
      </c>
      <c r="ME36" s="14">
        <v>43250</v>
      </c>
      <c r="MG36" s="65">
        <f t="shared" si="164"/>
        <v>1</v>
      </c>
      <c r="MH36" s="13">
        <f t="shared" si="81"/>
        <v>1773958.8668608128</v>
      </c>
      <c r="MI36" s="14">
        <v>43251</v>
      </c>
      <c r="MK36" s="65"/>
      <c r="ML36" s="13"/>
      <c r="MM36" s="14"/>
      <c r="MO36" s="65"/>
      <c r="MP36" s="13"/>
      <c r="MQ36" s="14"/>
      <c r="MS36" s="65"/>
      <c r="MT36" s="13"/>
      <c r="MU36" s="14"/>
    </row>
    <row r="37" spans="1:359" x14ac:dyDescent="0.25">
      <c r="A37" s="15">
        <f t="shared" si="1"/>
        <v>732132.82719449885</v>
      </c>
      <c r="B37" s="20">
        <v>42731</v>
      </c>
      <c r="D37" s="12">
        <v>139</v>
      </c>
      <c r="E37" s="17">
        <v>1140381.1432561222</v>
      </c>
      <c r="F37" s="14">
        <v>42461</v>
      </c>
      <c r="I37" s="12">
        <v>4</v>
      </c>
      <c r="J37" s="17">
        <v>1192033.4497301017</v>
      </c>
      <c r="K37" s="14">
        <v>42503</v>
      </c>
      <c r="N37" s="12">
        <f t="shared" si="85"/>
        <v>69</v>
      </c>
      <c r="O37" s="13">
        <f t="shared" si="2"/>
        <v>732132.82719449885</v>
      </c>
      <c r="P37" s="14">
        <v>42731</v>
      </c>
      <c r="T37" s="15">
        <f t="shared" si="3"/>
        <v>1535971.2117826915</v>
      </c>
      <c r="U37" s="20">
        <v>42980</v>
      </c>
      <c r="W37" s="12">
        <v>139</v>
      </c>
      <c r="X37" s="17">
        <v>1140381.1432561222</v>
      </c>
      <c r="Y37" s="14">
        <v>42461</v>
      </c>
      <c r="AB37" s="12">
        <v>4</v>
      </c>
      <c r="AC37" s="17">
        <v>1192033.4497301017</v>
      </c>
      <c r="AD37" s="14">
        <v>42503</v>
      </c>
      <c r="AG37" s="12">
        <f t="shared" si="86"/>
        <v>4</v>
      </c>
      <c r="AH37" s="13">
        <f t="shared" si="0"/>
        <v>1535971.2117826915</v>
      </c>
      <c r="AI37" s="14">
        <v>42980</v>
      </c>
      <c r="AK37" s="12">
        <f t="shared" si="87"/>
        <v>11</v>
      </c>
      <c r="AL37" s="13">
        <f t="shared" si="4"/>
        <v>1387995.0843849313</v>
      </c>
      <c r="AM37" s="14">
        <v>42987</v>
      </c>
      <c r="AO37" s="12">
        <f t="shared" si="88"/>
        <v>9</v>
      </c>
      <c r="AP37" s="13">
        <f t="shared" si="5"/>
        <v>3654902.5351565545</v>
      </c>
      <c r="AQ37" s="14">
        <v>42990</v>
      </c>
      <c r="AW37" s="65">
        <f t="shared" si="90"/>
        <v>1</v>
      </c>
      <c r="AX37" s="13">
        <f t="shared" si="7"/>
        <v>697669.7991267154</v>
      </c>
      <c r="AY37" s="14">
        <v>42992</v>
      </c>
      <c r="BE37" s="65">
        <f t="shared" si="92"/>
        <v>5</v>
      </c>
      <c r="BF37" s="13">
        <f t="shared" si="9"/>
        <v>1394192.3501508497</v>
      </c>
      <c r="BG37" s="14">
        <v>42993</v>
      </c>
      <c r="BM37" s="65">
        <f t="shared" si="94"/>
        <v>23</v>
      </c>
      <c r="BN37" s="13">
        <f t="shared" si="11"/>
        <v>1864927.9502963391</v>
      </c>
      <c r="BO37" s="14">
        <v>42997</v>
      </c>
      <c r="BQ37" s="65">
        <f t="shared" si="95"/>
        <v>28</v>
      </c>
      <c r="BR37" s="13">
        <f t="shared" si="12"/>
        <v>4294394.5869681668</v>
      </c>
      <c r="BS37" s="14">
        <v>43004</v>
      </c>
      <c r="BU37" s="65"/>
      <c r="BV37" s="13"/>
      <c r="BW37" s="14">
        <v>43013</v>
      </c>
      <c r="BY37" s="65"/>
      <c r="BZ37" s="13"/>
      <c r="CA37" s="14">
        <v>43013</v>
      </c>
      <c r="CC37" s="65">
        <f t="shared" si="168"/>
        <v>5</v>
      </c>
      <c r="CD37" s="13">
        <f t="shared" si="15"/>
        <v>1624024.3221223552</v>
      </c>
      <c r="CE37" s="14">
        <v>43014</v>
      </c>
      <c r="CG37" s="65">
        <f t="shared" si="99"/>
        <v>13</v>
      </c>
      <c r="CH37" s="13">
        <f t="shared" si="16"/>
        <v>973861.30275606643</v>
      </c>
      <c r="CI37" s="14">
        <v>43014</v>
      </c>
      <c r="CK37" s="65">
        <f t="shared" si="100"/>
        <v>37</v>
      </c>
      <c r="CL37" s="13">
        <f t="shared" si="17"/>
        <v>801079.41724372574</v>
      </c>
      <c r="CM37" s="14">
        <v>43018</v>
      </c>
      <c r="CO37" s="65"/>
      <c r="CP37" s="13"/>
      <c r="CQ37" s="14"/>
      <c r="CS37" s="65"/>
      <c r="CT37" s="13"/>
      <c r="CU37" s="14"/>
      <c r="CW37" s="65">
        <f t="shared" si="103"/>
        <v>19</v>
      </c>
      <c r="CX37" s="13">
        <f t="shared" si="20"/>
        <v>2548410.3061382417</v>
      </c>
      <c r="CY37" s="14">
        <v>43022</v>
      </c>
      <c r="DA37" s="65"/>
      <c r="DB37" s="13"/>
      <c r="DC37" s="14"/>
      <c r="DE37" s="65">
        <f t="shared" si="105"/>
        <v>18</v>
      </c>
      <c r="DF37" s="13">
        <f t="shared" si="22"/>
        <v>3200747.4550470104</v>
      </c>
      <c r="DG37" s="14">
        <v>43028</v>
      </c>
      <c r="DI37" s="65"/>
      <c r="DJ37" s="13"/>
      <c r="DK37" s="14"/>
      <c r="DM37" s="65"/>
      <c r="DN37" s="13"/>
      <c r="DO37" s="14"/>
      <c r="DQ37" s="65"/>
      <c r="DR37" s="13"/>
      <c r="DS37" s="14"/>
      <c r="DU37" s="65">
        <f t="shared" si="109"/>
        <v>63</v>
      </c>
      <c r="DV37" s="13">
        <f t="shared" si="26"/>
        <v>2331371.4975993191</v>
      </c>
      <c r="DW37" s="14">
        <v>43039</v>
      </c>
      <c r="DY37" s="65">
        <f t="shared" si="110"/>
        <v>74</v>
      </c>
      <c r="DZ37" s="13">
        <f t="shared" si="27"/>
        <v>792401.07864000008</v>
      </c>
      <c r="EA37" s="14">
        <v>43042</v>
      </c>
      <c r="EC37" s="65"/>
      <c r="ED37" s="13"/>
      <c r="EE37" s="14"/>
      <c r="EG37" s="65">
        <f>+EG36-1</f>
        <v>7</v>
      </c>
      <c r="EH37" s="13">
        <f t="shared" si="29"/>
        <v>1593177.8716209226</v>
      </c>
      <c r="EI37" s="14">
        <v>43048</v>
      </c>
      <c r="EK37" s="65"/>
      <c r="EL37" s="13"/>
      <c r="EM37" s="14"/>
      <c r="EO37" s="65">
        <f t="shared" si="114"/>
        <v>48</v>
      </c>
      <c r="EP37" s="13">
        <f t="shared" si="31"/>
        <v>1280092.5035173018</v>
      </c>
      <c r="EQ37" s="14">
        <v>43054</v>
      </c>
      <c r="ES37" s="65">
        <f t="shared" si="115"/>
        <v>5</v>
      </c>
      <c r="ET37" s="13">
        <f t="shared" si="32"/>
        <v>1604026.0122930787</v>
      </c>
      <c r="EU37" s="14">
        <v>43054</v>
      </c>
      <c r="EW37" s="65"/>
      <c r="EX37" s="13"/>
      <c r="EY37" s="14"/>
      <c r="FA37" s="65">
        <f t="shared" si="117"/>
        <v>47</v>
      </c>
      <c r="FB37" s="13">
        <f t="shared" si="34"/>
        <v>1259667.5806530388</v>
      </c>
      <c r="FC37" s="14">
        <v>43061</v>
      </c>
      <c r="FE37" s="65">
        <f t="shared" si="118"/>
        <v>42</v>
      </c>
      <c r="FF37" s="13">
        <f t="shared" si="35"/>
        <v>3153275.6803558106</v>
      </c>
      <c r="FG37" s="14">
        <v>43061</v>
      </c>
      <c r="FI37" s="65">
        <f t="shared" si="119"/>
        <v>39</v>
      </c>
      <c r="FJ37" s="13">
        <f t="shared" si="36"/>
        <v>1741433.0510868786</v>
      </c>
      <c r="FK37" s="14">
        <v>43063</v>
      </c>
      <c r="FM37" s="65">
        <f t="shared" si="120"/>
        <v>5</v>
      </c>
      <c r="FN37" s="13">
        <f t="shared" si="37"/>
        <v>1141510.7479745203</v>
      </c>
      <c r="FO37" s="14">
        <v>43068</v>
      </c>
      <c r="FQ37" s="65">
        <f t="shared" si="121"/>
        <v>1</v>
      </c>
      <c r="FR37" s="13">
        <f t="shared" si="38"/>
        <v>1411062.1245334342</v>
      </c>
      <c r="FS37" s="14">
        <v>43068</v>
      </c>
      <c r="FU37" s="65">
        <f t="shared" si="122"/>
        <v>14</v>
      </c>
      <c r="FV37" s="13">
        <f t="shared" si="39"/>
        <v>1905498.8424481291</v>
      </c>
      <c r="FW37" s="14">
        <v>43070</v>
      </c>
      <c r="FY37" s="65">
        <f t="shared" si="123"/>
        <v>0</v>
      </c>
      <c r="FZ37" s="13">
        <f>($GA$2/(1+$GA$4*FY37/360))*0</f>
        <v>0</v>
      </c>
      <c r="GA37" s="14">
        <v>43070</v>
      </c>
      <c r="GC37" s="65">
        <f t="shared" si="124"/>
        <v>4</v>
      </c>
      <c r="GD37" s="13">
        <f t="shared" si="41"/>
        <v>868285.65777636471</v>
      </c>
      <c r="GE37" s="14">
        <v>43071</v>
      </c>
      <c r="GG37" s="65">
        <f t="shared" si="125"/>
        <v>0</v>
      </c>
      <c r="GH37" s="13">
        <f>($GI$2/(1+$GI$4*GG37/360))*0</f>
        <v>0</v>
      </c>
      <c r="GI37" s="14">
        <v>43075</v>
      </c>
      <c r="GK37" s="65"/>
      <c r="GL37" s="13"/>
      <c r="GM37" s="14"/>
      <c r="GO37" s="65">
        <f t="shared" si="127"/>
        <v>1</v>
      </c>
      <c r="GP37" s="13">
        <f t="shared" si="44"/>
        <v>1258946.2745415692</v>
      </c>
      <c r="GQ37" s="14">
        <v>43095</v>
      </c>
      <c r="GS37" s="65">
        <f t="shared" si="128"/>
        <v>6</v>
      </c>
      <c r="GT37" s="13">
        <f t="shared" si="45"/>
        <v>1549853.846360737</v>
      </c>
      <c r="GU37" s="14">
        <v>43098</v>
      </c>
      <c r="GW37" s="65">
        <f t="shared" si="129"/>
        <v>6</v>
      </c>
      <c r="GX37" s="13">
        <f t="shared" si="46"/>
        <v>923273.69186450797</v>
      </c>
      <c r="GY37" s="14">
        <v>43099</v>
      </c>
      <c r="HA37" s="65">
        <f t="shared" si="130"/>
        <v>6</v>
      </c>
      <c r="HB37" s="13">
        <f t="shared" si="47"/>
        <v>1538820.2346113012</v>
      </c>
      <c r="HC37" s="14">
        <v>43099</v>
      </c>
      <c r="HE37" s="65">
        <f t="shared" si="131"/>
        <v>1</v>
      </c>
      <c r="HF37" s="13">
        <f t="shared" si="48"/>
        <v>1102739.5101112598</v>
      </c>
      <c r="HG37" s="14">
        <v>43103</v>
      </c>
      <c r="HI37" s="65"/>
      <c r="HJ37" s="13"/>
      <c r="HK37" s="14"/>
      <c r="HM37" s="65"/>
      <c r="HN37" s="13"/>
      <c r="HO37" s="14"/>
      <c r="HQ37" s="65">
        <f t="shared" si="134"/>
        <v>3</v>
      </c>
      <c r="HR37" s="13">
        <f t="shared" si="51"/>
        <v>3048282.3834163826</v>
      </c>
      <c r="HS37" s="14">
        <v>43105</v>
      </c>
      <c r="HU37" s="65"/>
      <c r="HV37" s="13"/>
      <c r="HW37" s="14"/>
      <c r="HY37" s="65"/>
      <c r="HZ37" s="13"/>
      <c r="IA37" s="14"/>
      <c r="IC37" s="65"/>
      <c r="ID37" s="13"/>
      <c r="IE37" s="14"/>
      <c r="IG37" s="65">
        <f t="shared" si="138"/>
        <v>4</v>
      </c>
      <c r="IH37" s="13">
        <f t="shared" si="55"/>
        <v>1285745.055804732</v>
      </c>
      <c r="II37" s="14">
        <v>43120</v>
      </c>
      <c r="IK37" s="65">
        <f t="shared" si="139"/>
        <v>12</v>
      </c>
      <c r="IL37" s="13">
        <f t="shared" si="56"/>
        <v>2584408.0602709414</v>
      </c>
      <c r="IM37" s="14">
        <v>43124</v>
      </c>
      <c r="IO37" s="65">
        <f t="shared" si="140"/>
        <v>4</v>
      </c>
      <c r="IP37" s="13">
        <f t="shared" si="57"/>
        <v>1135984.9781681108</v>
      </c>
      <c r="IQ37" s="14">
        <v>43125</v>
      </c>
      <c r="IS37" s="65">
        <f t="shared" si="141"/>
        <v>1</v>
      </c>
      <c r="IT37" s="13">
        <f t="shared" si="58"/>
        <v>1490427.3004700448</v>
      </c>
      <c r="IU37" s="14">
        <v>43131</v>
      </c>
      <c r="IW37" s="65">
        <f t="shared" si="142"/>
        <v>5</v>
      </c>
      <c r="IX37" s="13">
        <f t="shared" si="59"/>
        <v>1646121.5190929838</v>
      </c>
      <c r="IY37" s="14">
        <v>43131</v>
      </c>
      <c r="JA37" s="65">
        <f t="shared" si="143"/>
        <v>29</v>
      </c>
      <c r="JB37" s="13">
        <f t="shared" si="60"/>
        <v>987236.12282070308</v>
      </c>
      <c r="JC37" s="14">
        <v>43137</v>
      </c>
      <c r="JE37" s="65">
        <f t="shared" si="144"/>
        <v>12</v>
      </c>
      <c r="JF37" s="13">
        <f t="shared" si="61"/>
        <v>1482694.1711518758</v>
      </c>
      <c r="JG37" s="14">
        <v>43148</v>
      </c>
      <c r="JI37" s="65"/>
      <c r="JJ37" s="13"/>
      <c r="JK37" s="14"/>
      <c r="JM37" s="65">
        <f t="shared" si="146"/>
        <v>0</v>
      </c>
      <c r="JN37" s="13">
        <f>($JO$2/(1+$JO$4*JM37/360))*0</f>
        <v>0</v>
      </c>
      <c r="JO37" s="14">
        <v>43153</v>
      </c>
      <c r="JQ37" s="65">
        <f t="shared" si="147"/>
        <v>6</v>
      </c>
      <c r="JR37" s="13">
        <f t="shared" si="64"/>
        <v>1501003.9607310656</v>
      </c>
      <c r="JS37" s="14">
        <v>43154</v>
      </c>
      <c r="JU37" s="65">
        <f t="shared" si="148"/>
        <v>34</v>
      </c>
      <c r="JV37" s="13">
        <f t="shared" si="65"/>
        <v>1652001.5742322833</v>
      </c>
      <c r="JW37" s="14">
        <v>43159</v>
      </c>
      <c r="JY37" s="65">
        <f t="shared" si="149"/>
        <v>12</v>
      </c>
      <c r="JZ37" s="13">
        <f t="shared" si="66"/>
        <v>1482694.1711518758</v>
      </c>
      <c r="KA37" s="14">
        <v>43148</v>
      </c>
      <c r="KC37" s="65"/>
      <c r="KD37" s="13"/>
      <c r="KE37" s="14"/>
      <c r="KG37" s="65">
        <f t="shared" si="151"/>
        <v>0</v>
      </c>
      <c r="KH37" s="13">
        <f>($JO$2/(1+$JO$4*KG37/360))*0</f>
        <v>0</v>
      </c>
      <c r="KI37" s="14">
        <v>43153</v>
      </c>
      <c r="KK37" s="65">
        <f t="shared" si="152"/>
        <v>6</v>
      </c>
      <c r="KL37" s="13">
        <f t="shared" si="69"/>
        <v>1501003.9607310656</v>
      </c>
      <c r="KM37" s="14">
        <v>43154</v>
      </c>
      <c r="KO37" s="65"/>
      <c r="KP37" s="13"/>
      <c r="KQ37" s="14"/>
      <c r="KS37" s="65">
        <f t="shared" si="154"/>
        <v>22</v>
      </c>
      <c r="KT37" s="13">
        <f t="shared" si="71"/>
        <v>3307792.4186798083</v>
      </c>
      <c r="KU37" s="14">
        <v>43200</v>
      </c>
      <c r="KW37" s="65">
        <f t="shared" si="155"/>
        <v>13</v>
      </c>
      <c r="KX37" s="13">
        <f t="shared" si="72"/>
        <v>2989112.3577570561</v>
      </c>
      <c r="KY37" s="14">
        <v>43202</v>
      </c>
      <c r="LA37" s="65">
        <f t="shared" si="156"/>
        <v>50</v>
      </c>
      <c r="LB37" s="13">
        <f t="shared" si="73"/>
        <v>2632353.5756054125</v>
      </c>
      <c r="LC37" s="14">
        <v>43214</v>
      </c>
      <c r="LE37" s="65"/>
      <c r="LF37" s="13"/>
      <c r="LG37" s="14"/>
      <c r="LI37" s="65">
        <f t="shared" si="158"/>
        <v>10</v>
      </c>
      <c r="LJ37" s="13">
        <f t="shared" si="75"/>
        <v>2485433.0464373911</v>
      </c>
      <c r="LK37" s="14">
        <v>43221</v>
      </c>
      <c r="LM37" s="65">
        <f t="shared" si="159"/>
        <v>38</v>
      </c>
      <c r="LN37" s="13">
        <f t="shared" si="76"/>
        <v>744157.54901252815</v>
      </c>
      <c r="LO37" s="14">
        <v>43224</v>
      </c>
      <c r="LQ37" s="65">
        <f t="shared" si="160"/>
        <v>7</v>
      </c>
      <c r="LR37" s="13">
        <f t="shared" si="77"/>
        <v>2777228.9539374188</v>
      </c>
      <c r="LS37" s="14">
        <v>43237</v>
      </c>
      <c r="LU37" s="65"/>
      <c r="LV37" s="13"/>
      <c r="LW37" s="14"/>
      <c r="LY37" s="65">
        <f t="shared" si="162"/>
        <v>10</v>
      </c>
      <c r="LZ37" s="13">
        <f t="shared" si="79"/>
        <v>976329.01250071288</v>
      </c>
      <c r="MA37" s="14">
        <v>43249</v>
      </c>
      <c r="MC37" s="65">
        <f t="shared" si="163"/>
        <v>5</v>
      </c>
      <c r="MD37" s="13">
        <f t="shared" si="80"/>
        <v>2866545.1810586336</v>
      </c>
      <c r="ME37" s="14">
        <v>43251</v>
      </c>
      <c r="MG37" s="65">
        <f t="shared" si="164"/>
        <v>0</v>
      </c>
      <c r="MH37" s="13">
        <f t="shared" si="81"/>
        <v>1774079.089708915</v>
      </c>
      <c r="MI37" s="14">
        <v>43252</v>
      </c>
      <c r="MK37" s="65"/>
      <c r="ML37" s="13"/>
      <c r="MM37" s="14"/>
      <c r="MO37" s="65"/>
      <c r="MP37" s="13"/>
      <c r="MQ37" s="14"/>
      <c r="MS37" s="65"/>
      <c r="MT37" s="13"/>
      <c r="MU37" s="14"/>
    </row>
    <row r="38" spans="1:359" x14ac:dyDescent="0.25">
      <c r="A38" s="15">
        <f t="shared" si="1"/>
        <v>732162.13362793915</v>
      </c>
      <c r="B38" s="20">
        <v>42732</v>
      </c>
      <c r="D38" s="12">
        <v>138</v>
      </c>
      <c r="E38" s="17">
        <v>1140408.2741517485</v>
      </c>
      <c r="F38" s="14">
        <v>42462</v>
      </c>
      <c r="I38" s="12">
        <v>3</v>
      </c>
      <c r="J38" s="17">
        <v>1192047.7067028603</v>
      </c>
      <c r="K38" s="14">
        <v>42504</v>
      </c>
      <c r="N38" s="12">
        <f t="shared" si="85"/>
        <v>68</v>
      </c>
      <c r="O38" s="13">
        <f t="shared" si="2"/>
        <v>732162.13362793915</v>
      </c>
      <c r="P38" s="14">
        <v>42732</v>
      </c>
      <c r="T38" s="15">
        <f t="shared" si="3"/>
        <v>1536050.1485309303</v>
      </c>
      <c r="U38" s="20">
        <v>42981</v>
      </c>
      <c r="W38" s="12">
        <v>138</v>
      </c>
      <c r="X38" s="17">
        <v>1140408.2741517485</v>
      </c>
      <c r="Y38" s="14">
        <v>42462</v>
      </c>
      <c r="AB38" s="12">
        <v>3</v>
      </c>
      <c r="AC38" s="17">
        <v>1192047.7067028603</v>
      </c>
      <c r="AD38" s="14">
        <v>42504</v>
      </c>
      <c r="AG38" s="12">
        <f t="shared" si="86"/>
        <v>3</v>
      </c>
      <c r="AH38" s="13">
        <f t="shared" si="0"/>
        <v>1536050.1485309303</v>
      </c>
      <c r="AI38" s="14">
        <v>42981</v>
      </c>
      <c r="AK38" s="12">
        <f t="shared" si="87"/>
        <v>10</v>
      </c>
      <c r="AL38" s="13">
        <f t="shared" si="4"/>
        <v>1388064.6150790548</v>
      </c>
      <c r="AM38" s="14">
        <v>42988</v>
      </c>
      <c r="AO38" s="12">
        <f t="shared" si="88"/>
        <v>8</v>
      </c>
      <c r="AP38" s="13">
        <f t="shared" si="5"/>
        <v>3655101.93875818</v>
      </c>
      <c r="AQ38" s="14">
        <v>42991</v>
      </c>
      <c r="AW38" s="65">
        <f t="shared" si="90"/>
        <v>0</v>
      </c>
      <c r="AX38" s="13">
        <f>($AY$2/(1+$AY$4*AW38/360))*0</f>
        <v>0</v>
      </c>
      <c r="AY38" s="14">
        <v>42993</v>
      </c>
      <c r="BE38" s="65">
        <f t="shared" si="92"/>
        <v>4</v>
      </c>
      <c r="BF38" s="13">
        <f t="shared" si="9"/>
        <v>1394272.2780757956</v>
      </c>
      <c r="BG38" s="14">
        <v>42994</v>
      </c>
      <c r="BM38" s="65">
        <f t="shared" si="94"/>
        <v>22</v>
      </c>
      <c r="BN38" s="13">
        <f t="shared" si="11"/>
        <v>1865027.0639421849</v>
      </c>
      <c r="BO38" s="14">
        <v>42998</v>
      </c>
      <c r="BQ38" s="65">
        <f t="shared" si="95"/>
        <v>27</v>
      </c>
      <c r="BR38" s="13">
        <f t="shared" si="12"/>
        <v>4294694.534746768</v>
      </c>
      <c r="BS38" s="14">
        <v>43005</v>
      </c>
      <c r="BU38" s="65"/>
      <c r="BV38" s="13"/>
      <c r="BW38" s="14">
        <v>43014</v>
      </c>
      <c r="BY38" s="65"/>
      <c r="BZ38" s="13"/>
      <c r="CA38" s="14">
        <v>43014</v>
      </c>
      <c r="CC38" s="65">
        <f t="shared" si="168"/>
        <v>4</v>
      </c>
      <c r="CD38" s="13">
        <f t="shared" si="15"/>
        <v>1624095.1796490636</v>
      </c>
      <c r="CE38" s="14">
        <v>43015</v>
      </c>
      <c r="CG38" s="65">
        <f t="shared" si="99"/>
        <v>12</v>
      </c>
      <c r="CH38" s="13">
        <f t="shared" si="16"/>
        <v>973904.36680059461</v>
      </c>
      <c r="CI38" s="14">
        <v>43015</v>
      </c>
      <c r="CK38" s="65">
        <f t="shared" si="100"/>
        <v>36</v>
      </c>
      <c r="CL38" s="13">
        <f t="shared" si="17"/>
        <v>801117.15419747774</v>
      </c>
      <c r="CM38" s="14">
        <v>43019</v>
      </c>
      <c r="CO38" s="65"/>
      <c r="CP38" s="13"/>
      <c r="CQ38" s="14"/>
      <c r="CS38" s="65"/>
      <c r="CT38" s="13"/>
      <c r="CU38" s="14"/>
      <c r="CW38" s="65">
        <f t="shared" si="103"/>
        <v>18</v>
      </c>
      <c r="CX38" s="13">
        <f t="shared" si="20"/>
        <v>2548524.0449873558</v>
      </c>
      <c r="CY38" s="14">
        <v>43023</v>
      </c>
      <c r="DA38" s="65"/>
      <c r="DB38" s="13"/>
      <c r="DC38" s="14"/>
      <c r="DE38" s="65">
        <f t="shared" si="105"/>
        <v>17</v>
      </c>
      <c r="DF38" s="13">
        <f t="shared" si="22"/>
        <v>3200905.1320422455</v>
      </c>
      <c r="DG38" s="14">
        <v>43029</v>
      </c>
      <c r="DI38" s="65"/>
      <c r="DJ38" s="13"/>
      <c r="DK38" s="14"/>
      <c r="DM38" s="65"/>
      <c r="DN38" s="13"/>
      <c r="DO38" s="14"/>
      <c r="DQ38" s="65"/>
      <c r="DR38" s="13"/>
      <c r="DS38" s="14"/>
      <c r="DU38" s="65">
        <f t="shared" si="109"/>
        <v>62</v>
      </c>
      <c r="DV38" s="13">
        <f t="shared" si="26"/>
        <v>2331486.4268903015</v>
      </c>
      <c r="DW38" s="14">
        <v>43040</v>
      </c>
      <c r="DY38" s="65">
        <f t="shared" si="110"/>
        <v>73</v>
      </c>
      <c r="DZ38" s="13">
        <f t="shared" si="27"/>
        <v>792442.54911926831</v>
      </c>
      <c r="EA38" s="14">
        <v>43043</v>
      </c>
      <c r="EC38" s="65"/>
      <c r="ED38" s="13"/>
      <c r="EE38" s="14"/>
      <c r="EG38" s="65">
        <f t="shared" si="112"/>
        <v>6</v>
      </c>
      <c r="EH38" s="13">
        <f t="shared" si="29"/>
        <v>1593263.5607523569</v>
      </c>
      <c r="EI38" s="14">
        <v>43049</v>
      </c>
      <c r="EK38" s="65"/>
      <c r="EL38" s="13"/>
      <c r="EM38" s="14"/>
      <c r="EO38" s="65">
        <f t="shared" si="114"/>
        <v>47</v>
      </c>
      <c r="EP38" s="13">
        <f t="shared" si="31"/>
        <v>1280167.3917386287</v>
      </c>
      <c r="EQ38" s="14">
        <v>43055</v>
      </c>
      <c r="ES38" s="65">
        <f t="shared" si="115"/>
        <v>4</v>
      </c>
      <c r="ET38" s="13">
        <f t="shared" si="32"/>
        <v>1604119.3034856063</v>
      </c>
      <c r="EU38" s="14">
        <v>43055</v>
      </c>
      <c r="EW38" s="65"/>
      <c r="EX38" s="13"/>
      <c r="EY38" s="14"/>
      <c r="FA38" s="65">
        <f t="shared" si="117"/>
        <v>46</v>
      </c>
      <c r="FB38" s="13">
        <f t="shared" si="34"/>
        <v>1259742.6266334497</v>
      </c>
      <c r="FC38" s="14">
        <v>43062</v>
      </c>
      <c r="FE38" s="65">
        <f t="shared" si="118"/>
        <v>41</v>
      </c>
      <c r="FF38" s="13">
        <f t="shared" si="35"/>
        <v>3153452.1890388303</v>
      </c>
      <c r="FG38" s="14">
        <v>43062</v>
      </c>
      <c r="FI38" s="65">
        <f t="shared" si="119"/>
        <v>38</v>
      </c>
      <c r="FJ38" s="13">
        <f t="shared" si="36"/>
        <v>1741539.3519854597</v>
      </c>
      <c r="FK38" s="14">
        <v>43064</v>
      </c>
      <c r="FM38" s="65">
        <f t="shared" si="120"/>
        <v>4</v>
      </c>
      <c r="FN38" s="13">
        <f t="shared" si="37"/>
        <v>1141578.5938346346</v>
      </c>
      <c r="FO38" s="14">
        <v>43069</v>
      </c>
      <c r="FQ38" s="65">
        <f t="shared" si="121"/>
        <v>0</v>
      </c>
      <c r="FR38" s="13">
        <f>($FS$2/(1+$FS$4*FQ38/360))*0</f>
        <v>0</v>
      </c>
      <c r="FS38" s="14">
        <v>43069</v>
      </c>
      <c r="FU38" s="65">
        <f t="shared" si="122"/>
        <v>13</v>
      </c>
      <c r="FV38" s="13">
        <f t="shared" si="39"/>
        <v>1905611.7795380426</v>
      </c>
      <c r="FW38" s="14">
        <v>43071</v>
      </c>
      <c r="FY38" s="65"/>
      <c r="FZ38" s="13"/>
      <c r="GA38" s="14"/>
      <c r="GC38" s="65">
        <f t="shared" si="124"/>
        <v>3</v>
      </c>
      <c r="GD38" s="13">
        <f t="shared" si="41"/>
        <v>868334.35293795844</v>
      </c>
      <c r="GE38" s="14">
        <v>43072</v>
      </c>
      <c r="GG38" s="65"/>
      <c r="GH38" s="13"/>
      <c r="GI38" s="14"/>
      <c r="GK38" s="65"/>
      <c r="GL38" s="13"/>
      <c r="GM38" s="14"/>
      <c r="GO38" s="65">
        <f t="shared" si="127"/>
        <v>0</v>
      </c>
      <c r="GP38" s="13">
        <f>($GQ$2/(1+$GQ$4*GO38/360))*0</f>
        <v>0</v>
      </c>
      <c r="GQ38" s="14">
        <v>43096</v>
      </c>
      <c r="GS38" s="65">
        <f t="shared" si="128"/>
        <v>5</v>
      </c>
      <c r="GT38" s="13">
        <f t="shared" si="45"/>
        <v>1549978.8143504886</v>
      </c>
      <c r="GU38" s="14">
        <v>43099</v>
      </c>
      <c r="GW38" s="65">
        <f t="shared" si="129"/>
        <v>5</v>
      </c>
      <c r="GX38" s="13">
        <f t="shared" si="46"/>
        <v>923345.08266849769</v>
      </c>
      <c r="GY38" s="14">
        <v>43100</v>
      </c>
      <c r="HA38" s="65">
        <f t="shared" si="130"/>
        <v>5</v>
      </c>
      <c r="HB38" s="13">
        <f t="shared" si="47"/>
        <v>1538934.0966155878</v>
      </c>
      <c r="HC38" s="14">
        <v>43100</v>
      </c>
      <c r="HE38" s="65">
        <f t="shared" si="131"/>
        <v>0</v>
      </c>
      <c r="HF38" s="13">
        <f>($HG$2/(1+$HG$4*HE38/360))*0</f>
        <v>0</v>
      </c>
      <c r="HG38" s="14">
        <v>43104</v>
      </c>
      <c r="HI38" s="65"/>
      <c r="HJ38" s="13"/>
      <c r="HK38" s="14"/>
      <c r="HM38" s="65"/>
      <c r="HN38" s="13"/>
      <c r="HO38" s="14"/>
      <c r="HQ38" s="65">
        <f t="shared" si="134"/>
        <v>2</v>
      </c>
      <c r="HR38" s="13">
        <f t="shared" si="51"/>
        <v>3048556.823470952</v>
      </c>
      <c r="HS38" s="14">
        <v>43106</v>
      </c>
      <c r="HU38" s="65"/>
      <c r="HV38" s="13"/>
      <c r="HW38" s="14"/>
      <c r="HY38" s="65"/>
      <c r="HZ38" s="13"/>
      <c r="IA38" s="14"/>
      <c r="IC38" s="65"/>
      <c r="ID38" s="13"/>
      <c r="IE38" s="14"/>
      <c r="IG38" s="65">
        <f t="shared" si="138"/>
        <v>3</v>
      </c>
      <c r="IH38" s="13">
        <f t="shared" si="55"/>
        <v>1285852.1744463884</v>
      </c>
      <c r="II38" s="14">
        <v>43121</v>
      </c>
      <c r="IK38" s="65">
        <f t="shared" si="139"/>
        <v>11</v>
      </c>
      <c r="IL38" s="13">
        <f t="shared" si="56"/>
        <v>2584626.2927571973</v>
      </c>
      <c r="IM38" s="14">
        <v>43125</v>
      </c>
      <c r="IO38" s="65">
        <f t="shared" si="140"/>
        <v>3</v>
      </c>
      <c r="IP38" s="13">
        <f t="shared" si="57"/>
        <v>1136079.6199225194</v>
      </c>
      <c r="IQ38" s="14">
        <v>43126</v>
      </c>
      <c r="IS38" s="65">
        <f t="shared" si="141"/>
        <v>0</v>
      </c>
      <c r="IT38" s="13">
        <f>($IU$2/(1+$IU$4*IS38/360))*0</f>
        <v>0</v>
      </c>
      <c r="IU38" s="14">
        <v>43132</v>
      </c>
      <c r="IW38" s="65">
        <f t="shared" si="142"/>
        <v>4</v>
      </c>
      <c r="IX38" s="13">
        <f t="shared" si="59"/>
        <v>1646223.7173307636</v>
      </c>
      <c r="IY38" s="14">
        <v>43132</v>
      </c>
      <c r="JA38" s="65">
        <f t="shared" si="143"/>
        <v>28</v>
      </c>
      <c r="JB38" s="13">
        <f t="shared" si="60"/>
        <v>987288.62932042906</v>
      </c>
      <c r="JC38" s="14">
        <v>43138</v>
      </c>
      <c r="JE38" s="65">
        <f t="shared" si="144"/>
        <v>11</v>
      </c>
      <c r="JF38" s="13">
        <f t="shared" si="61"/>
        <v>1482770.1270555728</v>
      </c>
      <c r="JG38" s="14">
        <v>43149</v>
      </c>
      <c r="JI38" s="65"/>
      <c r="JJ38" s="13"/>
      <c r="JK38" s="14"/>
      <c r="JM38" s="65"/>
      <c r="JN38" s="13"/>
      <c r="JO38" s="14"/>
      <c r="JQ38" s="65">
        <f t="shared" si="147"/>
        <v>5</v>
      </c>
      <c r="JR38" s="13">
        <f t="shared" si="64"/>
        <v>1501091.0334039205</v>
      </c>
      <c r="JS38" s="14">
        <v>43155</v>
      </c>
      <c r="JU38" s="65">
        <f t="shared" si="148"/>
        <v>33</v>
      </c>
      <c r="JV38" s="13">
        <f t="shared" si="65"/>
        <v>1652104.0263614969</v>
      </c>
      <c r="JW38" s="14">
        <v>43160</v>
      </c>
      <c r="JY38" s="65">
        <f t="shared" si="149"/>
        <v>11</v>
      </c>
      <c r="JZ38" s="13">
        <f t="shared" si="66"/>
        <v>1482770.1270555728</v>
      </c>
      <c r="KA38" s="14">
        <v>43149</v>
      </c>
      <c r="KC38" s="65"/>
      <c r="KD38" s="13"/>
      <c r="KE38" s="14"/>
      <c r="KG38" s="65"/>
      <c r="KH38" s="13"/>
      <c r="KI38" s="14"/>
      <c r="KK38" s="65">
        <f t="shared" si="152"/>
        <v>5</v>
      </c>
      <c r="KL38" s="13">
        <f t="shared" si="69"/>
        <v>1501091.0334039205</v>
      </c>
      <c r="KM38" s="14">
        <v>43155</v>
      </c>
      <c r="KO38" s="65"/>
      <c r="KP38" s="13"/>
      <c r="KQ38" s="14"/>
      <c r="KS38" s="65">
        <f t="shared" si="154"/>
        <v>21</v>
      </c>
      <c r="KT38" s="13">
        <f t="shared" si="71"/>
        <v>3308004.5137670557</v>
      </c>
      <c r="KU38" s="14">
        <v>43201</v>
      </c>
      <c r="KW38" s="65">
        <f t="shared" si="155"/>
        <v>12</v>
      </c>
      <c r="KX38" s="13">
        <f t="shared" si="72"/>
        <v>2989297.731926742</v>
      </c>
      <c r="KY38" s="14">
        <v>43203</v>
      </c>
      <c r="LA38" s="65">
        <f t="shared" si="156"/>
        <v>49</v>
      </c>
      <c r="LB38" s="13">
        <f t="shared" si="73"/>
        <v>2632554.6340699107</v>
      </c>
      <c r="LC38" s="14">
        <v>43215</v>
      </c>
      <c r="LE38" s="65"/>
      <c r="LF38" s="13"/>
      <c r="LG38" s="14"/>
      <c r="LI38" s="65">
        <f t="shared" si="158"/>
        <v>9</v>
      </c>
      <c r="LJ38" s="13">
        <f t="shared" si="75"/>
        <v>2485604.607746392</v>
      </c>
      <c r="LK38" s="14">
        <v>43222</v>
      </c>
      <c r="LM38" s="65">
        <f t="shared" si="159"/>
        <v>37</v>
      </c>
      <c r="LN38" s="13">
        <f t="shared" si="76"/>
        <v>744210.68428024545</v>
      </c>
      <c r="LO38" s="14">
        <v>43225</v>
      </c>
      <c r="LQ38" s="65">
        <f t="shared" si="160"/>
        <v>6</v>
      </c>
      <c r="LR38" s="13">
        <f t="shared" si="77"/>
        <v>2777407.5226831092</v>
      </c>
      <c r="LS38" s="14">
        <v>43238</v>
      </c>
      <c r="LU38" s="65"/>
      <c r="LV38" s="13"/>
      <c r="LW38" s="14"/>
      <c r="LY38" s="65">
        <f t="shared" si="162"/>
        <v>9</v>
      </c>
      <c r="LZ38" s="13">
        <f t="shared" si="79"/>
        <v>976395.25507811375</v>
      </c>
      <c r="MA38" s="14">
        <v>43250</v>
      </c>
      <c r="MC38" s="65">
        <f t="shared" si="163"/>
        <v>4</v>
      </c>
      <c r="MD38" s="13">
        <f t="shared" si="80"/>
        <v>2866728.0476382887</v>
      </c>
      <c r="ME38" s="14">
        <v>43252</v>
      </c>
      <c r="MG38" s="65"/>
      <c r="MH38" s="13"/>
      <c r="MI38" s="14"/>
      <c r="MK38" s="65"/>
      <c r="ML38" s="13"/>
      <c r="MM38" s="14"/>
      <c r="MO38" s="65"/>
      <c r="MP38" s="13"/>
      <c r="MQ38" s="14"/>
      <c r="MS38" s="65"/>
      <c r="MT38" s="13"/>
      <c r="MU38" s="14"/>
    </row>
    <row r="39" spans="1:359" x14ac:dyDescent="0.25">
      <c r="A39" s="15">
        <f t="shared" si="1"/>
        <v>732191.44240767905</v>
      </c>
      <c r="B39" s="20">
        <v>42733</v>
      </c>
      <c r="D39" s="12">
        <v>137</v>
      </c>
      <c r="E39" s="17">
        <v>1140435.4063383522</v>
      </c>
      <c r="F39" s="14">
        <v>42463</v>
      </c>
      <c r="I39" s="12">
        <v>2</v>
      </c>
      <c r="J39" s="17">
        <v>1192061.9640166562</v>
      </c>
      <c r="K39" s="14">
        <v>42505</v>
      </c>
      <c r="N39" s="12">
        <f t="shared" si="85"/>
        <v>67</v>
      </c>
      <c r="O39" s="13">
        <f t="shared" si="2"/>
        <v>732191.44240767905</v>
      </c>
      <c r="P39" s="14">
        <v>42733</v>
      </c>
      <c r="T39" s="15">
        <f t="shared" si="3"/>
        <v>1536129.0933930331</v>
      </c>
      <c r="U39" s="20">
        <v>42982</v>
      </c>
      <c r="W39" s="12">
        <v>137</v>
      </c>
      <c r="X39" s="17">
        <v>1140435.4063383522</v>
      </c>
      <c r="Y39" s="14">
        <v>42463</v>
      </c>
      <c r="AB39" s="12">
        <v>2</v>
      </c>
      <c r="AC39" s="17">
        <v>1192061.9640166562</v>
      </c>
      <c r="AD39" s="14">
        <v>42505</v>
      </c>
      <c r="AG39" s="12">
        <f t="shared" si="86"/>
        <v>2</v>
      </c>
      <c r="AH39" s="13">
        <f t="shared" si="0"/>
        <v>1536129.0933930331</v>
      </c>
      <c r="AI39" s="14">
        <v>42982</v>
      </c>
      <c r="AK39" s="12">
        <f t="shared" si="87"/>
        <v>9</v>
      </c>
      <c r="AL39" s="13">
        <f t="shared" si="4"/>
        <v>1388134.1527397153</v>
      </c>
      <c r="AM39" s="14">
        <v>42989</v>
      </c>
      <c r="AO39" s="12">
        <f t="shared" si="88"/>
        <v>7</v>
      </c>
      <c r="AP39" s="13">
        <f t="shared" si="5"/>
        <v>3655301.3641190538</v>
      </c>
      <c r="AQ39" s="14">
        <v>42992</v>
      </c>
      <c r="BE39" s="65">
        <f t="shared" si="92"/>
        <v>3</v>
      </c>
      <c r="BF39" s="13">
        <f t="shared" si="9"/>
        <v>1394352.2151656738</v>
      </c>
      <c r="BG39" s="14">
        <v>42995</v>
      </c>
      <c r="BM39" s="65">
        <f t="shared" si="94"/>
        <v>21</v>
      </c>
      <c r="BN39" s="13">
        <f t="shared" si="11"/>
        <v>1865126.1881235978</v>
      </c>
      <c r="BO39" s="14">
        <v>42999</v>
      </c>
      <c r="BQ39" s="65">
        <f t="shared" si="95"/>
        <v>26</v>
      </c>
      <c r="BR39" s="13">
        <f t="shared" si="12"/>
        <v>4294994.52442881</v>
      </c>
      <c r="BS39" s="14">
        <v>43006</v>
      </c>
      <c r="BU39" s="65"/>
      <c r="BV39" s="13"/>
      <c r="BW39" s="14">
        <v>43015</v>
      </c>
      <c r="BY39" s="65"/>
      <c r="BZ39" s="13"/>
      <c r="CA39" s="14">
        <v>43015</v>
      </c>
      <c r="CC39" s="65">
        <f t="shared" si="168"/>
        <v>3</v>
      </c>
      <c r="CD39" s="13">
        <f t="shared" si="15"/>
        <v>1624166.043359187</v>
      </c>
      <c r="CE39" s="14">
        <v>43016</v>
      </c>
      <c r="CG39" s="65">
        <f t="shared" si="99"/>
        <v>11</v>
      </c>
      <c r="CH39" s="13">
        <f t="shared" si="16"/>
        <v>973947.43465386599</v>
      </c>
      <c r="CI39" s="14">
        <v>43016</v>
      </c>
      <c r="CK39" s="65">
        <f t="shared" si="100"/>
        <v>35</v>
      </c>
      <c r="CL39" s="13">
        <f t="shared" si="17"/>
        <v>801154.89470679429</v>
      </c>
      <c r="CM39" s="14">
        <v>43020</v>
      </c>
      <c r="CO39" s="65"/>
      <c r="CP39" s="13"/>
      <c r="CQ39" s="14"/>
      <c r="CS39" s="65"/>
      <c r="CT39" s="13"/>
      <c r="CU39" s="14"/>
      <c r="CW39" s="65">
        <f t="shared" si="103"/>
        <v>17</v>
      </c>
      <c r="CX39" s="13">
        <f t="shared" si="20"/>
        <v>2548637.7939895461</v>
      </c>
      <c r="CY39" s="14">
        <v>43024</v>
      </c>
      <c r="DA39" s="65"/>
      <c r="DB39" s="13"/>
      <c r="DC39" s="14"/>
      <c r="DE39" s="65">
        <f t="shared" si="105"/>
        <v>16</v>
      </c>
      <c r="DF39" s="13">
        <f t="shared" si="22"/>
        <v>3201062.8245733888</v>
      </c>
      <c r="DG39" s="14">
        <v>43030</v>
      </c>
      <c r="DI39" s="65"/>
      <c r="DJ39" s="13"/>
      <c r="DK39" s="14"/>
      <c r="DM39" s="65"/>
      <c r="DN39" s="13"/>
      <c r="DO39" s="14"/>
      <c r="DQ39" s="65"/>
      <c r="DR39" s="13"/>
      <c r="DS39" s="14"/>
      <c r="DU39" s="65">
        <f t="shared" si="109"/>
        <v>61</v>
      </c>
      <c r="DV39" s="13">
        <f t="shared" si="26"/>
        <v>2331601.367513149</v>
      </c>
      <c r="DW39" s="14">
        <v>43041</v>
      </c>
      <c r="DY39" s="65">
        <f t="shared" si="110"/>
        <v>72</v>
      </c>
      <c r="DZ39" s="13">
        <f t="shared" si="27"/>
        <v>792484.02393949637</v>
      </c>
      <c r="EA39" s="14">
        <v>43044</v>
      </c>
      <c r="EC39" s="65"/>
      <c r="ED39" s="13"/>
      <c r="EE39" s="14"/>
      <c r="EG39" s="65">
        <f t="shared" si="112"/>
        <v>5</v>
      </c>
      <c r="EH39" s="13">
        <f t="shared" si="29"/>
        <v>1593349.2591018737</v>
      </c>
      <c r="EI39" s="14">
        <v>43050</v>
      </c>
      <c r="EK39" s="65"/>
      <c r="EL39" s="13"/>
      <c r="EM39" s="14"/>
      <c r="EO39" s="65">
        <f t="shared" si="114"/>
        <v>46</v>
      </c>
      <c r="EP39" s="13">
        <f t="shared" si="31"/>
        <v>1280242.2887227193</v>
      </c>
      <c r="EQ39" s="14">
        <v>43056</v>
      </c>
      <c r="ES39" s="65">
        <f t="shared" si="115"/>
        <v>3</v>
      </c>
      <c r="ET39" s="13">
        <f t="shared" si="32"/>
        <v>1604212.6055305174</v>
      </c>
      <c r="EU39" s="14">
        <v>43056</v>
      </c>
      <c r="EW39" s="65"/>
      <c r="EX39" s="13"/>
      <c r="EY39" s="14"/>
      <c r="FA39" s="65">
        <f t="shared" si="117"/>
        <v>45</v>
      </c>
      <c r="FB39" s="13">
        <f t="shared" si="34"/>
        <v>1259817.6815562749</v>
      </c>
      <c r="FC39" s="14">
        <v>43063</v>
      </c>
      <c r="FE39" s="65">
        <f t="shared" si="118"/>
        <v>40</v>
      </c>
      <c r="FF39" s="13">
        <f t="shared" si="35"/>
        <v>3153628.7174835606</v>
      </c>
      <c r="FG39" s="14">
        <v>43063</v>
      </c>
      <c r="FI39" s="65">
        <f t="shared" si="119"/>
        <v>37</v>
      </c>
      <c r="FJ39" s="13">
        <f t="shared" si="36"/>
        <v>1741645.6658625135</v>
      </c>
      <c r="FK39" s="14">
        <v>43065</v>
      </c>
      <c r="FM39" s="65">
        <f t="shared" si="120"/>
        <v>3</v>
      </c>
      <c r="FN39" s="13">
        <f t="shared" si="37"/>
        <v>1141646.4477600858</v>
      </c>
      <c r="FO39" s="14">
        <v>43070</v>
      </c>
      <c r="FQ39" s="65"/>
      <c r="FR39" s="13"/>
      <c r="FS39" s="14"/>
      <c r="FU39" s="65">
        <f t="shared" si="122"/>
        <v>12</v>
      </c>
      <c r="FV39" s="13">
        <f t="shared" si="39"/>
        <v>1905724.7300160953</v>
      </c>
      <c r="FW39" s="14">
        <v>43072</v>
      </c>
      <c r="FY39" s="65"/>
      <c r="FZ39" s="13"/>
      <c r="GA39" s="14"/>
      <c r="GC39" s="65">
        <f t="shared" si="124"/>
        <v>2</v>
      </c>
      <c r="GD39" s="13">
        <f t="shared" si="41"/>
        <v>868383.05356169876</v>
      </c>
      <c r="GE39" s="14">
        <v>43073</v>
      </c>
      <c r="GG39" s="65"/>
      <c r="GH39" s="13"/>
      <c r="GI39" s="14"/>
      <c r="GK39" s="65"/>
      <c r="GL39" s="13"/>
      <c r="GM39" s="14"/>
      <c r="GO39" s="65"/>
      <c r="GP39" s="13"/>
      <c r="GQ39" s="14"/>
      <c r="GS39" s="65">
        <f t="shared" si="128"/>
        <v>4</v>
      </c>
      <c r="GT39" s="13">
        <f t="shared" si="45"/>
        <v>1550103.8024947313</v>
      </c>
      <c r="GU39" s="14">
        <v>43100</v>
      </c>
      <c r="GW39" s="65">
        <f t="shared" si="129"/>
        <v>4</v>
      </c>
      <c r="GX39" s="13">
        <f t="shared" si="46"/>
        <v>923416.48451372259</v>
      </c>
      <c r="GY39" s="14">
        <v>43101</v>
      </c>
      <c r="HA39" s="65">
        <f t="shared" si="130"/>
        <v>4</v>
      </c>
      <c r="HB39" s="13">
        <f t="shared" si="47"/>
        <v>1539047.9754711154</v>
      </c>
      <c r="HC39" s="14">
        <v>43101</v>
      </c>
      <c r="HE39" s="65"/>
      <c r="HF39" s="13"/>
      <c r="HG39" s="14"/>
      <c r="HI39" s="65"/>
      <c r="HJ39" s="13"/>
      <c r="HK39" s="14"/>
      <c r="HM39" s="65"/>
      <c r="HN39" s="13"/>
      <c r="HO39" s="14"/>
      <c r="HQ39" s="65">
        <f t="shared" si="134"/>
        <v>1</v>
      </c>
      <c r="HR39" s="13">
        <f t="shared" si="51"/>
        <v>3048831.3129462213</v>
      </c>
      <c r="HS39" s="14">
        <v>43107</v>
      </c>
      <c r="HU39" s="65"/>
      <c r="HV39" s="13"/>
      <c r="HW39" s="14"/>
      <c r="HY39" s="65"/>
      <c r="HZ39" s="13"/>
      <c r="IA39" s="14"/>
      <c r="IC39" s="65"/>
      <c r="ID39" s="13"/>
      <c r="IE39" s="14"/>
      <c r="IG39" s="65">
        <f t="shared" si="138"/>
        <v>2</v>
      </c>
      <c r="IH39" s="13">
        <f t="shared" si="55"/>
        <v>1285959.3109381772</v>
      </c>
      <c r="II39" s="14">
        <v>43122</v>
      </c>
      <c r="IK39" s="65">
        <f t="shared" si="139"/>
        <v>10</v>
      </c>
      <c r="IL39" s="13">
        <f t="shared" si="56"/>
        <v>2584844.5621025241</v>
      </c>
      <c r="IM39" s="14">
        <v>43126</v>
      </c>
      <c r="IO39" s="65">
        <f t="shared" si="140"/>
        <v>2</v>
      </c>
      <c r="IP39" s="13">
        <f t="shared" si="57"/>
        <v>1136174.2774479254</v>
      </c>
      <c r="IQ39" s="14">
        <v>43127</v>
      </c>
      <c r="IS39" s="65"/>
      <c r="IT39" s="13"/>
      <c r="IU39" s="14"/>
      <c r="IW39" s="65">
        <f t="shared" si="142"/>
        <v>3</v>
      </c>
      <c r="IX39" s="13">
        <f t="shared" si="59"/>
        <v>1646325.9282591352</v>
      </c>
      <c r="IY39" s="14">
        <v>43133</v>
      </c>
      <c r="JA39" s="65">
        <f t="shared" si="143"/>
        <v>27</v>
      </c>
      <c r="JB39" s="13">
        <f t="shared" si="60"/>
        <v>987341.14140560548</v>
      </c>
      <c r="JC39" s="14">
        <v>43139</v>
      </c>
      <c r="JE39" s="65">
        <f t="shared" si="144"/>
        <v>10</v>
      </c>
      <c r="JF39" s="13">
        <f t="shared" si="61"/>
        <v>1482846.0907418521</v>
      </c>
      <c r="JG39" s="14">
        <v>43150</v>
      </c>
      <c r="JI39" s="65"/>
      <c r="JJ39" s="13"/>
      <c r="JK39" s="14"/>
      <c r="JM39" s="65"/>
      <c r="JN39" s="13"/>
      <c r="JO39" s="14"/>
      <c r="JQ39" s="65">
        <f t="shared" si="147"/>
        <v>4</v>
      </c>
      <c r="JR39" s="13">
        <f t="shared" si="64"/>
        <v>1501178.1161794669</v>
      </c>
      <c r="JS39" s="14">
        <v>43156</v>
      </c>
      <c r="JU39" s="65">
        <f t="shared" si="148"/>
        <v>32</v>
      </c>
      <c r="JV39" s="13">
        <f t="shared" si="65"/>
        <v>1652206.4911990392</v>
      </c>
      <c r="JW39" s="14">
        <v>43161</v>
      </c>
      <c r="JY39" s="65">
        <f t="shared" si="149"/>
        <v>10</v>
      </c>
      <c r="JZ39" s="13">
        <f t="shared" si="66"/>
        <v>1482846.0907418521</v>
      </c>
      <c r="KA39" s="14">
        <v>43150</v>
      </c>
      <c r="KC39" s="65"/>
      <c r="KD39" s="13"/>
      <c r="KE39" s="14"/>
      <c r="KG39" s="65"/>
      <c r="KH39" s="13"/>
      <c r="KI39" s="14"/>
      <c r="KK39" s="65">
        <f t="shared" si="152"/>
        <v>4</v>
      </c>
      <c r="KL39" s="13">
        <f t="shared" si="69"/>
        <v>1501178.1161794669</v>
      </c>
      <c r="KM39" s="14">
        <v>43156</v>
      </c>
      <c r="KO39" s="65"/>
      <c r="KP39" s="13"/>
      <c r="KQ39" s="14"/>
      <c r="KS39" s="65">
        <f t="shared" si="154"/>
        <v>20</v>
      </c>
      <c r="KT39" s="13">
        <f t="shared" si="71"/>
        <v>3308216.6360550486</v>
      </c>
      <c r="KU39" s="14">
        <v>43202</v>
      </c>
      <c r="KW39" s="65">
        <f t="shared" si="155"/>
        <v>11</v>
      </c>
      <c r="KX39" s="13">
        <f t="shared" si="72"/>
        <v>2989483.1290903543</v>
      </c>
      <c r="KY39" s="14">
        <v>43204</v>
      </c>
      <c r="LA39" s="65">
        <f t="shared" si="156"/>
        <v>48</v>
      </c>
      <c r="LB39" s="13">
        <f t="shared" si="73"/>
        <v>2632755.7232503388</v>
      </c>
      <c r="LC39" s="14">
        <v>43216</v>
      </c>
      <c r="LE39" s="65"/>
      <c r="LF39" s="13"/>
      <c r="LG39" s="14"/>
      <c r="LI39" s="65">
        <f t="shared" si="158"/>
        <v>8</v>
      </c>
      <c r="LJ39" s="13">
        <f t="shared" si="75"/>
        <v>2485776.1927416599</v>
      </c>
      <c r="LK39" s="14">
        <v>43223</v>
      </c>
      <c r="LM39" s="65">
        <f t="shared" si="159"/>
        <v>36</v>
      </c>
      <c r="LN39" s="13">
        <f t="shared" si="76"/>
        <v>744263.8271365664</v>
      </c>
      <c r="LO39" s="14">
        <v>43226</v>
      </c>
      <c r="LQ39" s="65">
        <f t="shared" si="160"/>
        <v>5</v>
      </c>
      <c r="LR39" s="13">
        <f t="shared" si="77"/>
        <v>2777586.1143933074</v>
      </c>
      <c r="LS39" s="14">
        <v>43239</v>
      </c>
      <c r="LU39" s="65"/>
      <c r="LV39" s="13"/>
      <c r="LW39" s="14"/>
      <c r="LY39" s="65">
        <f t="shared" si="162"/>
        <v>8</v>
      </c>
      <c r="LZ39" s="13">
        <f t="shared" si="79"/>
        <v>976461.50664505956</v>
      </c>
      <c r="MA39" s="14">
        <v>43251</v>
      </c>
      <c r="MC39" s="65">
        <f t="shared" si="163"/>
        <v>3</v>
      </c>
      <c r="MD39" s="13">
        <f t="shared" si="80"/>
        <v>2866910.9375507836</v>
      </c>
      <c r="ME39" s="14">
        <v>43253</v>
      </c>
      <c r="MG39" s="65"/>
      <c r="MH39" s="13"/>
      <c r="MI39" s="14"/>
      <c r="MK39" s="65"/>
      <c r="ML39" s="13"/>
      <c r="MM39" s="14"/>
      <c r="MO39" s="65"/>
      <c r="MP39" s="13"/>
      <c r="MQ39" s="14"/>
      <c r="MS39" s="65"/>
      <c r="MT39" s="13"/>
      <c r="MU39" s="14"/>
    </row>
    <row r="40" spans="1:359" x14ac:dyDescent="0.25">
      <c r="A40" s="15">
        <f t="shared" si="1"/>
        <v>732220.75353400002</v>
      </c>
      <c r="B40" s="20">
        <v>42734</v>
      </c>
      <c r="D40" s="12">
        <v>136</v>
      </c>
      <c r="E40" s="17">
        <v>1140462.5398160252</v>
      </c>
      <c r="F40" s="14">
        <v>42464</v>
      </c>
      <c r="I40" s="12">
        <v>1</v>
      </c>
      <c r="J40" s="17">
        <v>1192076.2216715007</v>
      </c>
      <c r="K40" s="14">
        <v>42506</v>
      </c>
      <c r="N40" s="12">
        <f t="shared" si="85"/>
        <v>66</v>
      </c>
      <c r="O40" s="13">
        <f t="shared" si="2"/>
        <v>732220.75353400002</v>
      </c>
      <c r="P40" s="14">
        <v>42734</v>
      </c>
      <c r="T40" s="15">
        <f t="shared" si="3"/>
        <v>1536208.0463702506</v>
      </c>
      <c r="U40" s="20">
        <v>42983</v>
      </c>
      <c r="W40" s="12">
        <v>136</v>
      </c>
      <c r="X40" s="17">
        <v>1140462.5398160252</v>
      </c>
      <c r="Y40" s="14">
        <v>42464</v>
      </c>
      <c r="AB40" s="12">
        <v>1</v>
      </c>
      <c r="AC40" s="17">
        <v>1192076.2216715007</v>
      </c>
      <c r="AD40" s="14">
        <v>42506</v>
      </c>
      <c r="AG40" s="12">
        <f t="shared" si="86"/>
        <v>1</v>
      </c>
      <c r="AH40" s="13">
        <f t="shared" si="0"/>
        <v>1536208.0463702506</v>
      </c>
      <c r="AI40" s="14">
        <v>42983</v>
      </c>
      <c r="AK40" s="12">
        <f t="shared" si="87"/>
        <v>8</v>
      </c>
      <c r="AL40" s="13">
        <f t="shared" si="4"/>
        <v>1388203.6973679599</v>
      </c>
      <c r="AM40" s="14">
        <v>42990</v>
      </c>
      <c r="AO40" s="12">
        <f t="shared" si="88"/>
        <v>6</v>
      </c>
      <c r="AP40" s="13">
        <f t="shared" si="5"/>
        <v>3655500.8112427378</v>
      </c>
      <c r="AQ40" s="14">
        <v>42993</v>
      </c>
      <c r="BE40" s="65">
        <f t="shared" si="92"/>
        <v>2</v>
      </c>
      <c r="BF40" s="13">
        <f t="shared" si="9"/>
        <v>1394432.1614220613</v>
      </c>
      <c r="BG40" s="14">
        <v>42996</v>
      </c>
      <c r="BM40" s="65">
        <f t="shared" si="94"/>
        <v>20</v>
      </c>
      <c r="BN40" s="13">
        <f t="shared" si="11"/>
        <v>1865225.3228422578</v>
      </c>
      <c r="BO40" s="14">
        <v>43000</v>
      </c>
      <c r="BQ40" s="65">
        <f t="shared" si="95"/>
        <v>25</v>
      </c>
      <c r="BR40" s="13">
        <f t="shared" si="12"/>
        <v>4295294.5560230743</v>
      </c>
      <c r="BS40" s="14">
        <v>43007</v>
      </c>
      <c r="BU40" s="65"/>
      <c r="BV40" s="13"/>
      <c r="BW40" s="14">
        <v>43016</v>
      </c>
      <c r="BY40" s="65"/>
      <c r="BZ40" s="13"/>
      <c r="CA40" s="14">
        <v>43016</v>
      </c>
      <c r="CC40" s="65">
        <f t="shared" si="168"/>
        <v>2</v>
      </c>
      <c r="CD40" s="13">
        <f t="shared" si="15"/>
        <v>1624236.9132535348</v>
      </c>
      <c r="CE40" s="14">
        <v>43017</v>
      </c>
      <c r="CG40" s="65">
        <f t="shared" si="99"/>
        <v>10</v>
      </c>
      <c r="CH40" s="13">
        <f t="shared" si="16"/>
        <v>973990.5063163864</v>
      </c>
      <c r="CI40" s="14">
        <v>43017</v>
      </c>
      <c r="CK40" s="65">
        <f t="shared" si="100"/>
        <v>34</v>
      </c>
      <c r="CL40" s="13">
        <f t="shared" si="17"/>
        <v>801192.63877217774</v>
      </c>
      <c r="CM40" s="14">
        <v>43021</v>
      </c>
      <c r="CO40" s="65"/>
      <c r="CP40" s="13"/>
      <c r="CQ40" s="14"/>
      <c r="CS40" s="65"/>
      <c r="CT40" s="13"/>
      <c r="CU40" s="14"/>
      <c r="CW40" s="65">
        <f t="shared" si="103"/>
        <v>16</v>
      </c>
      <c r="CX40" s="13">
        <f t="shared" si="20"/>
        <v>2548751.5531461742</v>
      </c>
      <c r="CY40" s="14">
        <v>43025</v>
      </c>
      <c r="DA40" s="65"/>
      <c r="DB40" s="13"/>
      <c r="DC40" s="14"/>
      <c r="DE40" s="65">
        <f t="shared" si="105"/>
        <v>15</v>
      </c>
      <c r="DF40" s="13">
        <f t="shared" si="22"/>
        <v>3201220.5326427366</v>
      </c>
      <c r="DG40" s="14">
        <v>43031</v>
      </c>
      <c r="DI40" s="65"/>
      <c r="DJ40" s="13"/>
      <c r="DK40" s="14"/>
      <c r="DM40" s="65"/>
      <c r="DN40" s="13"/>
      <c r="DO40" s="14"/>
      <c r="DQ40" s="65"/>
      <c r="DR40" s="13"/>
      <c r="DS40" s="14"/>
      <c r="DU40" s="65">
        <f t="shared" si="109"/>
        <v>60</v>
      </c>
      <c r="DV40" s="13">
        <f t="shared" si="26"/>
        <v>2331716.3194695371</v>
      </c>
      <c r="DW40" s="14">
        <v>43042</v>
      </c>
      <c r="DY40" s="65">
        <f t="shared" si="110"/>
        <v>71</v>
      </c>
      <c r="DZ40" s="13">
        <f t="shared" si="27"/>
        <v>792525.50310136611</v>
      </c>
      <c r="EA40" s="14">
        <v>43045</v>
      </c>
      <c r="EC40" s="65"/>
      <c r="ED40" s="13"/>
      <c r="EE40" s="14"/>
      <c r="EG40" s="65">
        <f t="shared" si="112"/>
        <v>4</v>
      </c>
      <c r="EH40" s="13">
        <f t="shared" si="29"/>
        <v>1593434.9666709597</v>
      </c>
      <c r="EI40" s="14">
        <v>43051</v>
      </c>
      <c r="EK40" s="65"/>
      <c r="EL40" s="13"/>
      <c r="EM40" s="14"/>
      <c r="EO40" s="65">
        <f t="shared" si="114"/>
        <v>45</v>
      </c>
      <c r="EP40" s="13">
        <f t="shared" si="31"/>
        <v>1280317.1944711113</v>
      </c>
      <c r="EQ40" s="14">
        <v>43057</v>
      </c>
      <c r="ES40" s="65">
        <f t="shared" si="115"/>
        <v>2</v>
      </c>
      <c r="ET40" s="13">
        <f t="shared" si="32"/>
        <v>1604305.918429706</v>
      </c>
      <c r="EU40" s="14">
        <v>43057</v>
      </c>
      <c r="EW40" s="65"/>
      <c r="EX40" s="13"/>
      <c r="EY40" s="14"/>
      <c r="FA40" s="65">
        <f t="shared" si="117"/>
        <v>44</v>
      </c>
      <c r="FB40" s="13">
        <f t="shared" si="34"/>
        <v>1259892.745423113</v>
      </c>
      <c r="FC40" s="14">
        <v>43064</v>
      </c>
      <c r="FE40" s="65">
        <f t="shared" si="118"/>
        <v>39</v>
      </c>
      <c r="FF40" s="13">
        <f t="shared" si="35"/>
        <v>3153805.265693319</v>
      </c>
      <c r="FG40" s="14">
        <v>43064</v>
      </c>
      <c r="FI40" s="65">
        <f t="shared" si="119"/>
        <v>36</v>
      </c>
      <c r="FJ40" s="13">
        <f t="shared" si="36"/>
        <v>1741751.9927204172</v>
      </c>
      <c r="FK40" s="14">
        <v>43066</v>
      </c>
      <c r="FM40" s="65">
        <f t="shared" si="120"/>
        <v>2</v>
      </c>
      <c r="FN40" s="13">
        <f t="shared" si="37"/>
        <v>1141714.3097523118</v>
      </c>
      <c r="FO40" s="14">
        <v>43071</v>
      </c>
      <c r="FQ40" s="65"/>
      <c r="FR40" s="13"/>
      <c r="FS40" s="14"/>
      <c r="FU40" s="65">
        <f t="shared" si="122"/>
        <v>11</v>
      </c>
      <c r="FV40" s="13">
        <f t="shared" si="39"/>
        <v>1905837.6938846686</v>
      </c>
      <c r="FW40" s="14">
        <v>43073</v>
      </c>
      <c r="FY40" s="65"/>
      <c r="FZ40" s="13"/>
      <c r="GA40" s="14"/>
      <c r="GC40" s="65">
        <f t="shared" si="124"/>
        <v>1</v>
      </c>
      <c r="GD40" s="13">
        <f t="shared" si="41"/>
        <v>868431.75964850455</v>
      </c>
      <c r="GE40" s="14">
        <v>43074</v>
      </c>
      <c r="GG40" s="65"/>
      <c r="GH40" s="13"/>
      <c r="GI40" s="14"/>
      <c r="GK40" s="65"/>
      <c r="GL40" s="13"/>
      <c r="GM40" s="14"/>
      <c r="GO40" s="65"/>
      <c r="GP40" s="13"/>
      <c r="GQ40" s="14"/>
      <c r="GS40" s="65">
        <f t="shared" si="128"/>
        <v>3</v>
      </c>
      <c r="GT40" s="13">
        <f t="shared" si="45"/>
        <v>1550228.8107983412</v>
      </c>
      <c r="GU40" s="14">
        <v>43101</v>
      </c>
      <c r="GW40" s="65">
        <f t="shared" si="129"/>
        <v>3</v>
      </c>
      <c r="GX40" s="13">
        <f t="shared" si="46"/>
        <v>923487.89740274439</v>
      </c>
      <c r="GY40" s="14">
        <v>43102</v>
      </c>
      <c r="HA40" s="65">
        <f t="shared" si="130"/>
        <v>3</v>
      </c>
      <c r="HB40" s="13">
        <f t="shared" si="47"/>
        <v>1539161.8711816252</v>
      </c>
      <c r="HC40" s="14">
        <v>43102</v>
      </c>
      <c r="HE40" s="65"/>
      <c r="HF40" s="13"/>
      <c r="HG40" s="14"/>
      <c r="HI40" s="65"/>
      <c r="HJ40" s="13"/>
      <c r="HK40" s="14"/>
      <c r="HM40" s="65"/>
      <c r="HN40" s="13"/>
      <c r="HO40" s="14"/>
      <c r="HQ40" s="65">
        <f t="shared" si="134"/>
        <v>0</v>
      </c>
      <c r="HR40" s="13">
        <f>($HS$2/(1+$HS$4*HQ40/360))*0</f>
        <v>0</v>
      </c>
      <c r="HS40" s="14">
        <v>43108</v>
      </c>
      <c r="HU40" s="65"/>
      <c r="HV40" s="13"/>
      <c r="HW40" s="14"/>
      <c r="HY40" s="65"/>
      <c r="HZ40" s="13"/>
      <c r="IA40" s="14"/>
      <c r="IC40" s="65"/>
      <c r="ID40" s="13"/>
      <c r="IE40" s="14"/>
      <c r="IG40" s="65">
        <f t="shared" si="138"/>
        <v>1</v>
      </c>
      <c r="IH40" s="13">
        <f t="shared" si="55"/>
        <v>1286066.4652845596</v>
      </c>
      <c r="II40" s="14">
        <v>43123</v>
      </c>
      <c r="IK40" s="65">
        <f t="shared" si="139"/>
        <v>9</v>
      </c>
      <c r="IL40" s="13">
        <f t="shared" si="56"/>
        <v>2585062.8683162606</v>
      </c>
      <c r="IM40" s="14">
        <v>43127</v>
      </c>
      <c r="IO40" s="65">
        <f t="shared" si="140"/>
        <v>1</v>
      </c>
      <c r="IP40" s="13">
        <f t="shared" si="57"/>
        <v>1136268.9507482708</v>
      </c>
      <c r="IQ40" s="14">
        <v>43128</v>
      </c>
      <c r="IS40" s="65"/>
      <c r="IT40" s="13"/>
      <c r="IU40" s="14"/>
      <c r="IW40" s="65">
        <f t="shared" si="142"/>
        <v>2</v>
      </c>
      <c r="IX40" s="13">
        <f t="shared" si="59"/>
        <v>1646428.1518804624</v>
      </c>
      <c r="IY40" s="14">
        <v>43134</v>
      </c>
      <c r="JA40" s="65">
        <f t="shared" si="143"/>
        <v>26</v>
      </c>
      <c r="JB40" s="13">
        <f t="shared" si="60"/>
        <v>987393.65907712339</v>
      </c>
      <c r="JC40" s="14">
        <v>43140</v>
      </c>
      <c r="JE40" s="65">
        <f t="shared" si="144"/>
        <v>9</v>
      </c>
      <c r="JF40" s="13">
        <f t="shared" si="61"/>
        <v>1482922.0622119103</v>
      </c>
      <c r="JG40" s="14">
        <v>43151</v>
      </c>
      <c r="JI40" s="65"/>
      <c r="JJ40" s="13"/>
      <c r="JK40" s="14"/>
      <c r="JM40" s="65"/>
      <c r="JN40" s="13"/>
      <c r="JO40" s="14"/>
      <c r="JQ40" s="65">
        <f t="shared" si="147"/>
        <v>3</v>
      </c>
      <c r="JR40" s="13">
        <f t="shared" si="64"/>
        <v>1501265.209059464</v>
      </c>
      <c r="JS40" s="14">
        <v>43157</v>
      </c>
      <c r="JU40" s="65">
        <f t="shared" si="148"/>
        <v>31</v>
      </c>
      <c r="JV40" s="13">
        <f t="shared" si="65"/>
        <v>1652308.9687472752</v>
      </c>
      <c r="JW40" s="14">
        <v>43162</v>
      </c>
      <c r="JY40" s="65">
        <f t="shared" si="149"/>
        <v>9</v>
      </c>
      <c r="JZ40" s="13">
        <f t="shared" si="66"/>
        <v>1482922.0622119103</v>
      </c>
      <c r="KA40" s="14">
        <v>43151</v>
      </c>
      <c r="KC40" s="65"/>
      <c r="KD40" s="13"/>
      <c r="KE40" s="14"/>
      <c r="KG40" s="65"/>
      <c r="KH40" s="13"/>
      <c r="KI40" s="14"/>
      <c r="KK40" s="65">
        <f t="shared" si="152"/>
        <v>3</v>
      </c>
      <c r="KL40" s="13">
        <f t="shared" si="69"/>
        <v>1501265.209059464</v>
      </c>
      <c r="KM40" s="14">
        <v>43157</v>
      </c>
      <c r="KO40" s="65"/>
      <c r="KP40" s="13"/>
      <c r="KQ40" s="14"/>
      <c r="KS40" s="65">
        <f t="shared" si="154"/>
        <v>19</v>
      </c>
      <c r="KT40" s="13">
        <f t="shared" si="71"/>
        <v>3308428.7855490204</v>
      </c>
      <c r="KU40" s="14">
        <v>43203</v>
      </c>
      <c r="KW40" s="65">
        <f t="shared" si="155"/>
        <v>10</v>
      </c>
      <c r="KX40" s="13">
        <f t="shared" si="72"/>
        <v>2989668.5492521706</v>
      </c>
      <c r="KY40" s="14">
        <v>43205</v>
      </c>
      <c r="LA40" s="65">
        <f t="shared" si="156"/>
        <v>47</v>
      </c>
      <c r="LB40" s="13">
        <f t="shared" si="73"/>
        <v>2632956.8431537356</v>
      </c>
      <c r="LC40" s="14">
        <v>43217</v>
      </c>
      <c r="LE40" s="65"/>
      <c r="LF40" s="13"/>
      <c r="LG40" s="14"/>
      <c r="LI40" s="65">
        <f t="shared" si="158"/>
        <v>7</v>
      </c>
      <c r="LJ40" s="13">
        <f t="shared" si="75"/>
        <v>2485947.8014280996</v>
      </c>
      <c r="LK40" s="14">
        <v>43224</v>
      </c>
      <c r="LM40" s="65">
        <f t="shared" si="159"/>
        <v>35</v>
      </c>
      <c r="LN40" s="13">
        <f t="shared" si="76"/>
        <v>744316.9775831165</v>
      </c>
      <c r="LO40" s="14">
        <v>43227</v>
      </c>
      <c r="LQ40" s="65">
        <f t="shared" si="160"/>
        <v>4</v>
      </c>
      <c r="LR40" s="13">
        <f t="shared" si="77"/>
        <v>2777764.7290724423</v>
      </c>
      <c r="LS40" s="14">
        <v>43240</v>
      </c>
      <c r="LU40" s="65"/>
      <c r="LV40" s="13"/>
      <c r="LW40" s="14"/>
      <c r="LY40" s="65">
        <f t="shared" si="162"/>
        <v>7</v>
      </c>
      <c r="LZ40" s="13">
        <f t="shared" si="79"/>
        <v>976527.76720338035</v>
      </c>
      <c r="MA40" s="14">
        <v>43252</v>
      </c>
      <c r="MC40" s="65">
        <f t="shared" si="163"/>
        <v>2</v>
      </c>
      <c r="MD40" s="13">
        <f t="shared" si="80"/>
        <v>2867093.8508005845</v>
      </c>
      <c r="ME40" s="14">
        <v>43254</v>
      </c>
      <c r="MG40" s="65"/>
      <c r="MH40" s="13"/>
      <c r="MI40" s="14"/>
      <c r="MK40" s="65"/>
      <c r="ML40" s="13"/>
      <c r="MM40" s="14"/>
      <c r="MO40" s="65"/>
      <c r="MP40" s="13"/>
      <c r="MQ40" s="14"/>
      <c r="MS40" s="65"/>
      <c r="MT40" s="13"/>
      <c r="MU40" s="14"/>
    </row>
    <row r="41" spans="1:359" x14ac:dyDescent="0.25">
      <c r="A41" s="15">
        <f t="shared" si="1"/>
        <v>732250.06700718403</v>
      </c>
      <c r="B41" s="20">
        <v>42735</v>
      </c>
      <c r="D41" s="12">
        <v>135</v>
      </c>
      <c r="E41" s="17">
        <v>1140489.6745848595</v>
      </c>
      <c r="F41" s="14">
        <v>42465</v>
      </c>
      <c r="I41" s="12">
        <v>0</v>
      </c>
      <c r="J41" s="17">
        <v>1192090.4796674068</v>
      </c>
      <c r="K41" s="14">
        <v>42507</v>
      </c>
      <c r="N41" s="12">
        <f t="shared" si="85"/>
        <v>65</v>
      </c>
      <c r="O41" s="13">
        <f t="shared" si="2"/>
        <v>732250.06700718403</v>
      </c>
      <c r="P41" s="14">
        <v>42735</v>
      </c>
      <c r="T41" s="15">
        <f t="shared" si="3"/>
        <v>0</v>
      </c>
      <c r="U41" s="20">
        <v>42984</v>
      </c>
      <c r="W41" s="12">
        <v>135</v>
      </c>
      <c r="X41" s="17">
        <v>1140489.6745848595</v>
      </c>
      <c r="Y41" s="14">
        <v>42465</v>
      </c>
      <c r="AB41" s="12">
        <v>0</v>
      </c>
      <c r="AC41" s="17">
        <v>1192090.4796674068</v>
      </c>
      <c r="AD41" s="14">
        <v>42507</v>
      </c>
      <c r="AG41" s="12">
        <f t="shared" si="86"/>
        <v>0</v>
      </c>
      <c r="AH41" s="13">
        <f>($AI$2/(1+$AI$4*AG41/360))*0</f>
        <v>0</v>
      </c>
      <c r="AI41" s="14">
        <v>42984</v>
      </c>
      <c r="AK41" s="12">
        <f t="shared" si="87"/>
        <v>7</v>
      </c>
      <c r="AL41" s="13">
        <f t="shared" si="4"/>
        <v>1388273.2489648359</v>
      </c>
      <c r="AM41" s="14">
        <v>42991</v>
      </c>
      <c r="AO41" s="12">
        <f t="shared" si="88"/>
        <v>5</v>
      </c>
      <c r="AP41" s="13">
        <f t="shared" si="5"/>
        <v>3655700.2801327948</v>
      </c>
      <c r="AQ41" s="14">
        <v>42994</v>
      </c>
      <c r="BE41" s="65">
        <f t="shared" si="92"/>
        <v>1</v>
      </c>
      <c r="BF41" s="13">
        <f t="shared" si="9"/>
        <v>1394512.1168465344</v>
      </c>
      <c r="BG41" s="14">
        <v>42997</v>
      </c>
      <c r="BM41" s="65">
        <f t="shared" si="94"/>
        <v>19</v>
      </c>
      <c r="BN41" s="13">
        <f t="shared" si="11"/>
        <v>1865324.4680998456</v>
      </c>
      <c r="BO41" s="14">
        <v>43001</v>
      </c>
      <c r="BQ41" s="65">
        <f t="shared" si="95"/>
        <v>24</v>
      </c>
      <c r="BR41" s="13">
        <f t="shared" si="12"/>
        <v>4295594.6295383452</v>
      </c>
      <c r="BS41" s="14">
        <v>43008</v>
      </c>
      <c r="BU41" s="65"/>
      <c r="BV41" s="13"/>
      <c r="BW41" s="14">
        <v>43017</v>
      </c>
      <c r="BY41" s="65"/>
      <c r="BZ41" s="13"/>
      <c r="CA41" s="14">
        <v>43017</v>
      </c>
      <c r="CC41" s="65">
        <f t="shared" si="168"/>
        <v>1</v>
      </c>
      <c r="CD41" s="13">
        <f t="shared" si="15"/>
        <v>1624307.7893329165</v>
      </c>
      <c r="CE41" s="14">
        <v>43018</v>
      </c>
      <c r="CG41" s="65">
        <f t="shared" si="99"/>
        <v>9</v>
      </c>
      <c r="CH41" s="13">
        <f t="shared" si="16"/>
        <v>974033.58178866073</v>
      </c>
      <c r="CI41" s="14">
        <v>43018</v>
      </c>
      <c r="CK41" s="65">
        <f t="shared" si="100"/>
        <v>33</v>
      </c>
      <c r="CL41" s="13">
        <f t="shared" si="17"/>
        <v>801230.38639413111</v>
      </c>
      <c r="CM41" s="14">
        <v>43022</v>
      </c>
      <c r="CO41" s="65"/>
      <c r="CP41" s="13"/>
      <c r="CQ41" s="14"/>
      <c r="CS41" s="65"/>
      <c r="CT41" s="13"/>
      <c r="CU41" s="14"/>
      <c r="CW41" s="65">
        <f t="shared" si="103"/>
        <v>15</v>
      </c>
      <c r="CX41" s="13">
        <f t="shared" si="20"/>
        <v>2548865.3224585988</v>
      </c>
      <c r="CY41" s="14">
        <v>43026</v>
      </c>
      <c r="DA41" s="65"/>
      <c r="DB41" s="13"/>
      <c r="DC41" s="14"/>
      <c r="DE41" s="65">
        <f t="shared" si="105"/>
        <v>14</v>
      </c>
      <c r="DF41" s="13">
        <f t="shared" si="22"/>
        <v>3201378.2562525859</v>
      </c>
      <c r="DG41" s="14">
        <v>43032</v>
      </c>
      <c r="DI41" s="65"/>
      <c r="DJ41" s="13"/>
      <c r="DK41" s="14"/>
      <c r="DM41" s="65"/>
      <c r="DN41" s="13"/>
      <c r="DO41" s="14"/>
      <c r="DQ41" s="65"/>
      <c r="DR41" s="13"/>
      <c r="DS41" s="14"/>
      <c r="DU41" s="65">
        <f t="shared" si="109"/>
        <v>59</v>
      </c>
      <c r="DV41" s="13">
        <f t="shared" si="26"/>
        <v>2331831.2827611417</v>
      </c>
      <c r="DW41" s="14">
        <v>43043</v>
      </c>
      <c r="DY41" s="65">
        <f t="shared" si="110"/>
        <v>70</v>
      </c>
      <c r="DZ41" s="13">
        <f t="shared" si="27"/>
        <v>792566.98660555889</v>
      </c>
      <c r="EA41" s="14">
        <v>43046</v>
      </c>
      <c r="EC41" s="65"/>
      <c r="ED41" s="13"/>
      <c r="EE41" s="14"/>
      <c r="EG41" s="65">
        <f t="shared" ref="EG41:EG44" si="169">+EG40-1</f>
        <v>3</v>
      </c>
      <c r="EH41" s="13">
        <f t="shared" si="29"/>
        <v>1593520.6834611036</v>
      </c>
      <c r="EI41" s="14">
        <v>43052</v>
      </c>
      <c r="EK41" s="65"/>
      <c r="EL41" s="13"/>
      <c r="EM41" s="14"/>
      <c r="EO41" s="65">
        <f t="shared" si="114"/>
        <v>44</v>
      </c>
      <c r="EP41" s="13">
        <f t="shared" si="31"/>
        <v>1280392.108985343</v>
      </c>
      <c r="EQ41" s="14">
        <v>43058</v>
      </c>
      <c r="ES41" s="65">
        <f t="shared" si="115"/>
        <v>1</v>
      </c>
      <c r="ET41" s="13">
        <f t="shared" si="32"/>
        <v>1604399.242185066</v>
      </c>
      <c r="EU41" s="14">
        <v>43058</v>
      </c>
      <c r="EW41" s="65"/>
      <c r="EX41" s="13"/>
      <c r="EY41" s="14"/>
      <c r="FA41" s="65">
        <f t="shared" si="117"/>
        <v>43</v>
      </c>
      <c r="FB41" s="13">
        <f t="shared" si="34"/>
        <v>1259967.8182355626</v>
      </c>
      <c r="FC41" s="14">
        <v>43065</v>
      </c>
      <c r="FE41" s="65">
        <f t="shared" si="118"/>
        <v>38</v>
      </c>
      <c r="FF41" s="13">
        <f t="shared" si="35"/>
        <v>3153981.8336714255</v>
      </c>
      <c r="FG41" s="14">
        <v>43065</v>
      </c>
      <c r="FI41" s="65">
        <f t="shared" si="119"/>
        <v>35</v>
      </c>
      <c r="FJ41" s="13">
        <f t="shared" si="36"/>
        <v>1741858.3325615486</v>
      </c>
      <c r="FK41" s="14">
        <v>43067</v>
      </c>
      <c r="FM41" s="65">
        <f t="shared" si="120"/>
        <v>1</v>
      </c>
      <c r="FN41" s="13">
        <f t="shared" si="37"/>
        <v>1141782.1798127519</v>
      </c>
      <c r="FO41" s="14">
        <v>43072</v>
      </c>
      <c r="FQ41" s="65"/>
      <c r="FR41" s="13"/>
      <c r="FS41" s="14"/>
      <c r="FU41" s="65">
        <f t="shared" si="122"/>
        <v>10</v>
      </c>
      <c r="FV41" s="13">
        <f t="shared" si="39"/>
        <v>1905950.6711461435</v>
      </c>
      <c r="FW41" s="14">
        <v>43074</v>
      </c>
      <c r="FY41" s="65"/>
      <c r="FZ41" s="13"/>
      <c r="GA41" s="14"/>
      <c r="GC41" s="65">
        <f t="shared" si="124"/>
        <v>0</v>
      </c>
      <c r="GD41" s="13">
        <f>($GE$2/(1+$GE$4*GC41/360))*0</f>
        <v>0</v>
      </c>
      <c r="GE41" s="14">
        <v>43075</v>
      </c>
      <c r="GG41" s="65"/>
      <c r="GH41" s="13"/>
      <c r="GI41" s="14"/>
      <c r="GK41" s="65"/>
      <c r="GL41" s="13"/>
      <c r="GM41" s="14"/>
      <c r="GO41" s="65"/>
      <c r="GP41" s="13"/>
      <c r="GQ41" s="14"/>
      <c r="GS41" s="65">
        <f t="shared" si="128"/>
        <v>2</v>
      </c>
      <c r="GT41" s="13">
        <f t="shared" si="45"/>
        <v>1550353.8392661959</v>
      </c>
      <c r="GU41" s="14">
        <v>43102</v>
      </c>
      <c r="GW41" s="65">
        <f t="shared" si="129"/>
        <v>2</v>
      </c>
      <c r="GX41" s="13">
        <f t="shared" si="46"/>
        <v>923559.32133812539</v>
      </c>
      <c r="GY41" s="14">
        <v>43103</v>
      </c>
      <c r="HA41" s="65">
        <f t="shared" si="130"/>
        <v>2</v>
      </c>
      <c r="HB41" s="13">
        <f t="shared" si="47"/>
        <v>1539275.7837508593</v>
      </c>
      <c r="HC41" s="14">
        <v>43103</v>
      </c>
      <c r="HE41" s="65"/>
      <c r="HF41" s="13"/>
      <c r="HG41" s="14"/>
      <c r="HI41" s="65"/>
      <c r="HJ41" s="13"/>
      <c r="HK41" s="14"/>
      <c r="HM41" s="65"/>
      <c r="HN41" s="13"/>
      <c r="HO41" s="14"/>
      <c r="HQ41" s="65"/>
      <c r="HR41" s="13"/>
      <c r="HS41" s="14"/>
      <c r="HU41" s="65"/>
      <c r="HV41" s="13"/>
      <c r="HW41" s="14"/>
      <c r="HY41" s="65"/>
      <c r="HZ41" s="13"/>
      <c r="IA41" s="14"/>
      <c r="IC41" s="65"/>
      <c r="ID41" s="13"/>
      <c r="IE41" s="14"/>
      <c r="IG41" s="65">
        <f t="shared" si="138"/>
        <v>0</v>
      </c>
      <c r="IH41" s="13">
        <f>($II$2/(1+$II$4*IG41/360))*0</f>
        <v>0</v>
      </c>
      <c r="II41" s="14">
        <v>43124</v>
      </c>
      <c r="IK41" s="65">
        <f t="shared" si="139"/>
        <v>8</v>
      </c>
      <c r="IL41" s="13">
        <f t="shared" si="56"/>
        <v>2585281.2114077499</v>
      </c>
      <c r="IM41" s="14">
        <v>43128</v>
      </c>
      <c r="IO41" s="65">
        <f t="shared" si="140"/>
        <v>0</v>
      </c>
      <c r="IP41" s="13">
        <f>($IQ$2/(1+$IQ$4*IO41/360))*0</f>
        <v>0</v>
      </c>
      <c r="IQ41" s="14">
        <v>43129</v>
      </c>
      <c r="IS41" s="65"/>
      <c r="IT41" s="13"/>
      <c r="IU41" s="14"/>
      <c r="IW41" s="65">
        <f t="shared" si="142"/>
        <v>1</v>
      </c>
      <c r="IX41" s="13">
        <f t="shared" si="59"/>
        <v>1646530.3881971105</v>
      </c>
      <c r="IY41" s="14">
        <v>43135</v>
      </c>
      <c r="JA41" s="65">
        <f t="shared" si="143"/>
        <v>25</v>
      </c>
      <c r="JB41" s="13">
        <f t="shared" si="60"/>
        <v>987446.18233587442</v>
      </c>
      <c r="JC41" s="14">
        <v>43141</v>
      </c>
      <c r="JE41" s="65">
        <f t="shared" si="144"/>
        <v>8</v>
      </c>
      <c r="JF41" s="13">
        <f t="shared" si="61"/>
        <v>1482998.0414669439</v>
      </c>
      <c r="JG41" s="14">
        <v>43152</v>
      </c>
      <c r="JI41" s="65"/>
      <c r="JJ41" s="13"/>
      <c r="JK41" s="14"/>
      <c r="JM41" s="65"/>
      <c r="JN41" s="13"/>
      <c r="JO41" s="14"/>
      <c r="JQ41" s="65">
        <f t="shared" si="147"/>
        <v>2</v>
      </c>
      <c r="JR41" s="13">
        <f t="shared" si="64"/>
        <v>1501352.3120456699</v>
      </c>
      <c r="JS41" s="14">
        <v>43158</v>
      </c>
      <c r="JU41" s="65">
        <f t="shared" si="148"/>
        <v>30</v>
      </c>
      <c r="JV41" s="13">
        <f t="shared" si="65"/>
        <v>1652411.4590085701</v>
      </c>
      <c r="JW41" s="14">
        <v>43163</v>
      </c>
      <c r="JY41" s="65">
        <f t="shared" si="149"/>
        <v>8</v>
      </c>
      <c r="JZ41" s="13">
        <f t="shared" si="66"/>
        <v>1482998.0414669439</v>
      </c>
      <c r="KA41" s="14">
        <v>43152</v>
      </c>
      <c r="KC41" s="65"/>
      <c r="KD41" s="13"/>
      <c r="KE41" s="14"/>
      <c r="KG41" s="65"/>
      <c r="KH41" s="13"/>
      <c r="KI41" s="14"/>
      <c r="KK41" s="65">
        <f t="shared" si="152"/>
        <v>2</v>
      </c>
      <c r="KL41" s="13">
        <f t="shared" si="69"/>
        <v>1501352.3120456699</v>
      </c>
      <c r="KM41" s="14">
        <v>43158</v>
      </c>
      <c r="KO41" s="65"/>
      <c r="KP41" s="13"/>
      <c r="KQ41" s="14"/>
      <c r="KS41" s="65">
        <f t="shared" si="154"/>
        <v>18</v>
      </c>
      <c r="KT41" s="13">
        <f t="shared" si="71"/>
        <v>3308640.9622542057</v>
      </c>
      <c r="KU41" s="14">
        <v>43204</v>
      </c>
      <c r="KW41" s="65">
        <f t="shared" si="155"/>
        <v>9</v>
      </c>
      <c r="KX41" s="13">
        <f t="shared" si="72"/>
        <v>2989853.9924164708</v>
      </c>
      <c r="KY41" s="14">
        <v>43206</v>
      </c>
      <c r="LA41" s="65">
        <f t="shared" si="156"/>
        <v>46</v>
      </c>
      <c r="LB41" s="13">
        <f t="shared" si="73"/>
        <v>2633157.9937871438</v>
      </c>
      <c r="LC41" s="14">
        <v>43218</v>
      </c>
      <c r="LE41" s="65"/>
      <c r="LF41" s="13"/>
      <c r="LG41" s="14"/>
      <c r="LI41" s="65">
        <f t="shared" si="158"/>
        <v>6</v>
      </c>
      <c r="LJ41" s="13">
        <f t="shared" si="75"/>
        <v>2486119.4338106178</v>
      </c>
      <c r="LK41" s="14">
        <v>43225</v>
      </c>
      <c r="LM41" s="65">
        <f t="shared" si="159"/>
        <v>34</v>
      </c>
      <c r="LN41" s="13">
        <f t="shared" si="76"/>
        <v>744370.13562152232</v>
      </c>
      <c r="LO41" s="14">
        <v>43228</v>
      </c>
      <c r="LQ41" s="65">
        <f t="shared" si="160"/>
        <v>3</v>
      </c>
      <c r="LR41" s="13">
        <f t="shared" si="77"/>
        <v>2777943.366724947</v>
      </c>
      <c r="LS41" s="14">
        <v>43241</v>
      </c>
      <c r="LU41" s="65"/>
      <c r="LV41" s="13"/>
      <c r="LW41" s="14"/>
      <c r="LY41" s="65">
        <f t="shared" si="162"/>
        <v>6</v>
      </c>
      <c r="LZ41" s="13">
        <f t="shared" si="79"/>
        <v>976594.03675490664</v>
      </c>
      <c r="MA41" s="14">
        <v>43253</v>
      </c>
      <c r="MC41" s="65">
        <f t="shared" si="163"/>
        <v>1</v>
      </c>
      <c r="MD41" s="13">
        <f t="shared" si="80"/>
        <v>2867276.7873921571</v>
      </c>
      <c r="ME41" s="14">
        <v>43255</v>
      </c>
      <c r="MG41" s="65"/>
      <c r="MH41" s="13"/>
      <c r="MI41" s="14"/>
      <c r="MK41" s="65"/>
      <c r="ML41" s="13"/>
      <c r="MM41" s="14"/>
      <c r="MO41" s="65"/>
      <c r="MP41" s="13"/>
      <c r="MQ41" s="14"/>
      <c r="MS41" s="65"/>
      <c r="MT41" s="13"/>
      <c r="MU41" s="14"/>
    </row>
    <row r="42" spans="1:359" x14ac:dyDescent="0.25">
      <c r="A42" s="15">
        <f t="shared" si="1"/>
        <v>732279.38282751292</v>
      </c>
      <c r="B42" s="20">
        <v>42736</v>
      </c>
      <c r="D42" s="12">
        <v>134</v>
      </c>
      <c r="E42" s="17">
        <v>1140516.8106449477</v>
      </c>
      <c r="F42" s="14">
        <v>42466</v>
      </c>
      <c r="I42" s="12"/>
      <c r="J42" s="13"/>
      <c r="K42" s="14"/>
      <c r="N42" s="12">
        <f t="shared" si="85"/>
        <v>64</v>
      </c>
      <c r="O42" s="13">
        <f t="shared" si="2"/>
        <v>732279.38282751292</v>
      </c>
      <c r="P42" s="14">
        <v>42736</v>
      </c>
      <c r="T42" s="15"/>
      <c r="U42" s="20"/>
      <c r="W42" s="12"/>
      <c r="X42" s="17"/>
      <c r="Y42" s="14"/>
      <c r="AB42" s="12"/>
      <c r="AC42" s="13"/>
      <c r="AD42" s="14"/>
      <c r="AG42" s="12"/>
      <c r="AH42" s="13"/>
      <c r="AI42" s="14"/>
      <c r="AK42" s="12">
        <f t="shared" si="87"/>
        <v>6</v>
      </c>
      <c r="AL42" s="13">
        <f t="shared" si="4"/>
        <v>1388342.8075313908</v>
      </c>
      <c r="AM42" s="14">
        <v>42992</v>
      </c>
      <c r="AO42" s="12">
        <f t="shared" si="88"/>
        <v>4</v>
      </c>
      <c r="AP42" s="13">
        <f t="shared" si="5"/>
        <v>3655899.7707927874</v>
      </c>
      <c r="AQ42" s="14">
        <v>42995</v>
      </c>
      <c r="BE42" s="65">
        <f t="shared" si="92"/>
        <v>0</v>
      </c>
      <c r="BF42" s="13">
        <f>($BG$2/(1+$BG$4*BE42/360))*0</f>
        <v>0</v>
      </c>
      <c r="BG42" s="14">
        <v>42998</v>
      </c>
      <c r="BM42" s="65">
        <f t="shared" si="94"/>
        <v>18</v>
      </c>
      <c r="BN42" s="13">
        <f t="shared" si="11"/>
        <v>1865423.6238980412</v>
      </c>
      <c r="BO42" s="14">
        <v>43002</v>
      </c>
      <c r="BQ42" s="65">
        <f t="shared" si="95"/>
        <v>23</v>
      </c>
      <c r="BR42" s="13">
        <f t="shared" si="12"/>
        <v>4295894.7449834086</v>
      </c>
      <c r="BS42" s="14">
        <v>43009</v>
      </c>
      <c r="BU42" s="65"/>
      <c r="BV42" s="13"/>
      <c r="BW42" s="14">
        <v>43018</v>
      </c>
      <c r="BY42" s="65"/>
      <c r="BZ42" s="13"/>
      <c r="CA42" s="14">
        <v>43018</v>
      </c>
      <c r="CC42" s="65">
        <f t="shared" si="168"/>
        <v>0</v>
      </c>
      <c r="CD42" s="13">
        <f>($CE$2/(1+$CE$4*CC42/360))*0</f>
        <v>0</v>
      </c>
      <c r="CE42" s="14">
        <v>43019</v>
      </c>
      <c r="CG42" s="65">
        <f t="shared" si="99"/>
        <v>8</v>
      </c>
      <c r="CH42" s="13">
        <f t="shared" si="16"/>
        <v>974076.66107119492</v>
      </c>
      <c r="CI42" s="14">
        <v>43019</v>
      </c>
      <c r="CK42" s="65">
        <f t="shared" si="100"/>
        <v>32</v>
      </c>
      <c r="CL42" s="13">
        <f t="shared" si="17"/>
        <v>801268.13757315651</v>
      </c>
      <c r="CM42" s="14">
        <v>43023</v>
      </c>
      <c r="CO42" s="65"/>
      <c r="CP42" s="13"/>
      <c r="CQ42" s="14"/>
      <c r="CS42" s="65"/>
      <c r="CT42" s="13"/>
      <c r="CU42" s="14"/>
      <c r="CW42" s="65">
        <f t="shared" si="103"/>
        <v>14</v>
      </c>
      <c r="CX42" s="13">
        <f t="shared" si="20"/>
        <v>2548979.1019281792</v>
      </c>
      <c r="CY42" s="14">
        <v>43027</v>
      </c>
      <c r="DA42" s="65"/>
      <c r="DB42" s="13"/>
      <c r="DC42" s="14"/>
      <c r="DE42" s="65">
        <f t="shared" si="105"/>
        <v>13</v>
      </c>
      <c r="DF42" s="13">
        <f t="shared" si="22"/>
        <v>3201535.9954052335</v>
      </c>
      <c r="DG42" s="14">
        <v>43033</v>
      </c>
      <c r="DI42" s="65"/>
      <c r="DJ42" s="13"/>
      <c r="DK42" s="14"/>
      <c r="DM42" s="65"/>
      <c r="DN42" s="13"/>
      <c r="DO42" s="14"/>
      <c r="DQ42" s="65"/>
      <c r="DR42" s="13"/>
      <c r="DS42" s="14"/>
      <c r="DU42" s="65">
        <f t="shared" si="109"/>
        <v>58</v>
      </c>
      <c r="DV42" s="13">
        <f t="shared" si="26"/>
        <v>2331946.2573896404</v>
      </c>
      <c r="DW42" s="14">
        <v>43044</v>
      </c>
      <c r="DY42" s="65">
        <f t="shared" si="110"/>
        <v>69</v>
      </c>
      <c r="DZ42" s="13">
        <f t="shared" si="27"/>
        <v>792608.47445275716</v>
      </c>
      <c r="EA42" s="14">
        <v>43047</v>
      </c>
      <c r="EC42" s="65"/>
      <c r="ED42" s="13"/>
      <c r="EE42" s="14"/>
      <c r="EG42" s="65">
        <f t="shared" si="169"/>
        <v>2</v>
      </c>
      <c r="EH42" s="13">
        <f t="shared" si="29"/>
        <v>1593606.4094737931</v>
      </c>
      <c r="EI42" s="14">
        <v>43053</v>
      </c>
      <c r="EK42" s="65"/>
      <c r="EL42" s="13"/>
      <c r="EM42" s="14"/>
      <c r="EO42" s="65">
        <f t="shared" si="114"/>
        <v>43</v>
      </c>
      <c r="EP42" s="13">
        <f t="shared" si="31"/>
        <v>1280467.0322669533</v>
      </c>
      <c r="EQ42" s="14">
        <v>43059</v>
      </c>
      <c r="ES42" s="65">
        <f t="shared" si="115"/>
        <v>0</v>
      </c>
      <c r="ET42" s="13">
        <f>($EU$2/(1+$EU$4*ES42/360))*0</f>
        <v>0</v>
      </c>
      <c r="EU42" s="14">
        <v>43059</v>
      </c>
      <c r="EW42" s="65"/>
      <c r="EX42" s="13"/>
      <c r="EY42" s="14"/>
      <c r="FA42" s="65">
        <f t="shared" si="117"/>
        <v>42</v>
      </c>
      <c r="FB42" s="13">
        <f t="shared" si="34"/>
        <v>1260042.8999952232</v>
      </c>
      <c r="FC42" s="14">
        <v>43066</v>
      </c>
      <c r="FE42" s="65">
        <f t="shared" si="118"/>
        <v>37</v>
      </c>
      <c r="FF42" s="13">
        <f t="shared" si="35"/>
        <v>3154158.4214212014</v>
      </c>
      <c r="FG42" s="14">
        <v>43066</v>
      </c>
      <c r="FI42" s="65">
        <f t="shared" si="119"/>
        <v>34</v>
      </c>
      <c r="FJ42" s="13">
        <f t="shared" si="36"/>
        <v>1741964.6853882854</v>
      </c>
      <c r="FK42" s="14">
        <v>43068</v>
      </c>
      <c r="FM42" s="65">
        <f t="shared" si="120"/>
        <v>0</v>
      </c>
      <c r="FN42" s="13">
        <f>($FO$2/(1+$FO$4*FM42/360))*0</f>
        <v>0</v>
      </c>
      <c r="FO42" s="14">
        <v>43073</v>
      </c>
      <c r="FQ42" s="65"/>
      <c r="FR42" s="13"/>
      <c r="FS42" s="14"/>
      <c r="FU42" s="65">
        <f t="shared" si="122"/>
        <v>9</v>
      </c>
      <c r="FV42" s="13">
        <f t="shared" si="39"/>
        <v>1906063.6618029026</v>
      </c>
      <c r="FW42" s="14">
        <v>43075</v>
      </c>
      <c r="FY42" s="65"/>
      <c r="FZ42" s="13"/>
      <c r="GA42" s="14"/>
      <c r="GC42" s="65"/>
      <c r="GD42" s="13"/>
      <c r="GE42" s="14"/>
      <c r="GG42" s="65"/>
      <c r="GH42" s="13"/>
      <c r="GI42" s="14"/>
      <c r="GK42" s="65"/>
      <c r="GL42" s="13"/>
      <c r="GM42" s="14"/>
      <c r="GO42" s="65"/>
      <c r="GP42" s="13"/>
      <c r="GQ42" s="14"/>
      <c r="GS42" s="65">
        <f t="shared" si="128"/>
        <v>1</v>
      </c>
      <c r="GT42" s="13">
        <f t="shared" si="45"/>
        <v>1550478.8879031749</v>
      </c>
      <c r="GU42" s="14">
        <v>43103</v>
      </c>
      <c r="GW42" s="65">
        <f t="shared" si="129"/>
        <v>1</v>
      </c>
      <c r="GX42" s="13">
        <f t="shared" si="46"/>
        <v>923630.75632242905</v>
      </c>
      <c r="GY42" s="14">
        <v>43104</v>
      </c>
      <c r="HA42" s="65">
        <f t="shared" si="130"/>
        <v>1</v>
      </c>
      <c r="HB42" s="13">
        <f t="shared" si="47"/>
        <v>1539389.7131825618</v>
      </c>
      <c r="HC42" s="14">
        <v>43104</v>
      </c>
      <c r="HE42" s="65"/>
      <c r="HF42" s="13"/>
      <c r="HG42" s="14"/>
      <c r="HI42" s="65"/>
      <c r="HJ42" s="13"/>
      <c r="HK42" s="14"/>
      <c r="HM42" s="65"/>
      <c r="HN42" s="13"/>
      <c r="HO42" s="14"/>
      <c r="HQ42" s="65"/>
      <c r="HR42" s="13"/>
      <c r="HS42" s="14"/>
      <c r="HU42" s="65"/>
      <c r="HV42" s="13"/>
      <c r="HW42" s="14"/>
      <c r="HY42" s="65"/>
      <c r="HZ42" s="13"/>
      <c r="IA42" s="14"/>
      <c r="IC42" s="65"/>
      <c r="ID42" s="13"/>
      <c r="IE42" s="14"/>
      <c r="IG42" s="65"/>
      <c r="IH42" s="13"/>
      <c r="II42" s="14"/>
      <c r="IK42" s="65">
        <f t="shared" si="139"/>
        <v>7</v>
      </c>
      <c r="IL42" s="13">
        <f t="shared" si="56"/>
        <v>2585499.5913863359</v>
      </c>
      <c r="IM42" s="14">
        <v>43129</v>
      </c>
      <c r="IO42" s="65"/>
      <c r="IP42" s="13"/>
      <c r="IQ42" s="14"/>
      <c r="IS42" s="65"/>
      <c r="IT42" s="13"/>
      <c r="IU42" s="14"/>
      <c r="IW42" s="65">
        <f t="shared" si="142"/>
        <v>0</v>
      </c>
      <c r="IX42" s="13">
        <f>($IY$2/(1+$IY$4*IW42/360))*0</f>
        <v>0</v>
      </c>
      <c r="IY42" s="14">
        <v>43136</v>
      </c>
      <c r="JA42" s="65">
        <f t="shared" si="143"/>
        <v>24</v>
      </c>
      <c r="JB42" s="13">
        <f t="shared" si="60"/>
        <v>987498.71118275018</v>
      </c>
      <c r="JC42" s="14">
        <v>43142</v>
      </c>
      <c r="JE42" s="65">
        <f t="shared" si="144"/>
        <v>7</v>
      </c>
      <c r="JF42" s="13">
        <f t="shared" si="61"/>
        <v>1483074.0285081489</v>
      </c>
      <c r="JG42" s="14">
        <v>43153</v>
      </c>
      <c r="JI42" s="65"/>
      <c r="JJ42" s="13"/>
      <c r="JK42" s="14"/>
      <c r="JM42" s="65"/>
      <c r="JN42" s="13"/>
      <c r="JO42" s="14"/>
      <c r="JQ42" s="65">
        <f t="shared" si="147"/>
        <v>1</v>
      </c>
      <c r="JR42" s="13">
        <f t="shared" si="64"/>
        <v>1501439.4251398435</v>
      </c>
      <c r="JS42" s="14">
        <v>43159</v>
      </c>
      <c r="JU42" s="65">
        <f t="shared" si="148"/>
        <v>29</v>
      </c>
      <c r="JV42" s="13">
        <f t="shared" si="65"/>
        <v>1652513.9619852903</v>
      </c>
      <c r="JW42" s="14">
        <v>43164</v>
      </c>
      <c r="JY42" s="65">
        <f t="shared" si="149"/>
        <v>7</v>
      </c>
      <c r="JZ42" s="13">
        <f t="shared" si="66"/>
        <v>1483074.0285081489</v>
      </c>
      <c r="KA42" s="14">
        <v>43153</v>
      </c>
      <c r="KC42" s="65"/>
      <c r="KD42" s="13"/>
      <c r="KE42" s="14"/>
      <c r="KG42" s="65"/>
      <c r="KH42" s="13"/>
      <c r="KI42" s="14"/>
      <c r="KK42" s="65">
        <f t="shared" si="152"/>
        <v>1</v>
      </c>
      <c r="KL42" s="13">
        <f t="shared" si="69"/>
        <v>1501439.4251398435</v>
      </c>
      <c r="KM42" s="14">
        <v>43159</v>
      </c>
      <c r="KO42" s="65"/>
      <c r="KP42" s="13"/>
      <c r="KQ42" s="14"/>
      <c r="KS42" s="65">
        <f t="shared" si="154"/>
        <v>17</v>
      </c>
      <c r="KT42" s="13">
        <f t="shared" si="71"/>
        <v>3308853.16617584</v>
      </c>
      <c r="KU42" s="14">
        <v>43205</v>
      </c>
      <c r="KW42" s="65">
        <f t="shared" si="155"/>
        <v>8</v>
      </c>
      <c r="KX42" s="13">
        <f t="shared" si="72"/>
        <v>2990039.4585875361</v>
      </c>
      <c r="KY42" s="14">
        <v>43207</v>
      </c>
      <c r="LA42" s="65">
        <f t="shared" si="156"/>
        <v>45</v>
      </c>
      <c r="LB42" s="13">
        <f t="shared" si="73"/>
        <v>2633359.1751576061</v>
      </c>
      <c r="LC42" s="14">
        <v>43219</v>
      </c>
      <c r="LE42" s="65"/>
      <c r="LF42" s="13"/>
      <c r="LG42" s="14"/>
      <c r="LI42" s="65">
        <f t="shared" si="158"/>
        <v>5</v>
      </c>
      <c r="LJ42" s="13">
        <f t="shared" si="75"/>
        <v>2486291.0898941238</v>
      </c>
      <c r="LK42" s="14">
        <v>43226</v>
      </c>
      <c r="LM42" s="65">
        <f t="shared" si="159"/>
        <v>33</v>
      </c>
      <c r="LN42" s="13">
        <f t="shared" si="76"/>
        <v>744423.30125341006</v>
      </c>
      <c r="LO42" s="14">
        <v>43229</v>
      </c>
      <c r="LQ42" s="65">
        <f t="shared" si="160"/>
        <v>2</v>
      </c>
      <c r="LR42" s="13">
        <f t="shared" si="77"/>
        <v>2778122.0273552532</v>
      </c>
      <c r="LS42" s="14">
        <v>43242</v>
      </c>
      <c r="LU42" s="65"/>
      <c r="LV42" s="13"/>
      <c r="LW42" s="14"/>
      <c r="LY42" s="65">
        <f t="shared" si="162"/>
        <v>5</v>
      </c>
      <c r="LZ42" s="13">
        <f t="shared" si="79"/>
        <v>976660.31530146964</v>
      </c>
      <c r="MA42" s="14">
        <v>43254</v>
      </c>
      <c r="MC42" s="65">
        <f t="shared" si="163"/>
        <v>0</v>
      </c>
      <c r="MD42" s="13">
        <f t="shared" si="80"/>
        <v>2867459.7473299718</v>
      </c>
      <c r="ME42" s="14">
        <v>43256</v>
      </c>
      <c r="MG42" s="65"/>
      <c r="MH42" s="13"/>
      <c r="MI42" s="14"/>
      <c r="MK42" s="65"/>
      <c r="ML42" s="13"/>
      <c r="MM42" s="14"/>
      <c r="MO42" s="65"/>
      <c r="MP42" s="13"/>
      <c r="MQ42" s="14"/>
      <c r="MS42" s="65"/>
      <c r="MT42" s="13"/>
      <c r="MU42" s="14"/>
    </row>
    <row r="43" spans="1:359" x14ac:dyDescent="0.25">
      <c r="A43" s="15">
        <f t="shared" si="1"/>
        <v>732308.70099526865</v>
      </c>
      <c r="B43" s="20">
        <v>42737</v>
      </c>
      <c r="D43" s="12">
        <v>133</v>
      </c>
      <c r="E43" s="17">
        <v>1140543.9479963814</v>
      </c>
      <c r="F43" s="14">
        <v>42467</v>
      </c>
      <c r="I43" s="12"/>
      <c r="J43" s="13"/>
      <c r="K43" s="14"/>
      <c r="N43" s="12">
        <f t="shared" si="85"/>
        <v>63</v>
      </c>
      <c r="O43" s="13">
        <f t="shared" si="2"/>
        <v>732308.70099526865</v>
      </c>
      <c r="P43" s="14">
        <v>42737</v>
      </c>
      <c r="T43" s="15"/>
      <c r="U43" s="20"/>
      <c r="W43" s="12"/>
      <c r="X43" s="17"/>
      <c r="Y43" s="14"/>
      <c r="AB43" s="12"/>
      <c r="AC43" s="13"/>
      <c r="AD43" s="14"/>
      <c r="AG43" s="12"/>
      <c r="AH43" s="13"/>
      <c r="AI43" s="14"/>
      <c r="AK43" s="12">
        <f t="shared" si="87"/>
        <v>5</v>
      </c>
      <c r="AL43" s="13">
        <f t="shared" si="4"/>
        <v>1388412.3730686724</v>
      </c>
      <c r="AM43" s="14">
        <v>42993</v>
      </c>
      <c r="AO43" s="12">
        <f t="shared" si="88"/>
        <v>3</v>
      </c>
      <c r="AP43" s="13">
        <f t="shared" si="5"/>
        <v>3656099.28322628</v>
      </c>
      <c r="AQ43" s="14">
        <v>42996</v>
      </c>
      <c r="BM43" s="65">
        <f t="shared" si="94"/>
        <v>17</v>
      </c>
      <c r="BN43" s="13">
        <f t="shared" si="11"/>
        <v>1865522.7902385262</v>
      </c>
      <c r="BO43" s="14">
        <v>43003</v>
      </c>
      <c r="BQ43" s="65">
        <f t="shared" si="95"/>
        <v>22</v>
      </c>
      <c r="BR43" s="13">
        <f t="shared" si="12"/>
        <v>4296194.9023670536</v>
      </c>
      <c r="BS43" s="14">
        <v>43010</v>
      </c>
      <c r="BU43" s="65"/>
      <c r="BV43" s="13"/>
      <c r="BW43" s="14">
        <v>43019</v>
      </c>
      <c r="BY43" s="65"/>
      <c r="BZ43" s="13"/>
      <c r="CA43" s="14">
        <v>43019</v>
      </c>
      <c r="CC43" s="65"/>
      <c r="CD43" s="13"/>
      <c r="CE43" s="14">
        <v>43020</v>
      </c>
      <c r="CG43" s="65">
        <f t="shared" ref="CG43:CG50" si="170">+CG42-1</f>
        <v>7</v>
      </c>
      <c r="CH43" s="13">
        <f t="shared" si="16"/>
        <v>974119.74416449445</v>
      </c>
      <c r="CI43" s="14">
        <v>43020</v>
      </c>
      <c r="CK43" s="65">
        <f t="shared" si="100"/>
        <v>31</v>
      </c>
      <c r="CL43" s="13">
        <f t="shared" si="17"/>
        <v>801305.89230975742</v>
      </c>
      <c r="CM43" s="14">
        <v>43024</v>
      </c>
      <c r="CO43" s="65"/>
      <c r="CP43" s="13"/>
      <c r="CQ43" s="14"/>
      <c r="CS43" s="65"/>
      <c r="CT43" s="13"/>
      <c r="CU43" s="14"/>
      <c r="CW43" s="65">
        <f t="shared" si="103"/>
        <v>13</v>
      </c>
      <c r="CX43" s="13">
        <f t="shared" si="20"/>
        <v>2549092.8915562765</v>
      </c>
      <c r="CY43" s="14">
        <v>43028</v>
      </c>
      <c r="DA43" s="65"/>
      <c r="DB43" s="13"/>
      <c r="DC43" s="14"/>
      <c r="DE43" s="65">
        <f t="shared" si="105"/>
        <v>12</v>
      </c>
      <c r="DF43" s="13">
        <f t="shared" si="22"/>
        <v>3201693.7501029777</v>
      </c>
      <c r="DG43" s="14">
        <v>43034</v>
      </c>
      <c r="DI43" s="65"/>
      <c r="DJ43" s="13"/>
      <c r="DK43" s="14"/>
      <c r="DM43" s="65"/>
      <c r="DN43" s="13"/>
      <c r="DO43" s="14"/>
      <c r="DQ43" s="65"/>
      <c r="DR43" s="13"/>
      <c r="DS43" s="14"/>
      <c r="DU43" s="65">
        <f t="shared" si="109"/>
        <v>57</v>
      </c>
      <c r="DV43" s="13">
        <f t="shared" si="26"/>
        <v>2332061.2433567098</v>
      </c>
      <c r="DW43" s="14">
        <v>43045</v>
      </c>
      <c r="DY43" s="65">
        <f t="shared" si="110"/>
        <v>68</v>
      </c>
      <c r="DZ43" s="13">
        <f t="shared" si="27"/>
        <v>792649.96664364275</v>
      </c>
      <c r="EA43" s="14">
        <v>43048</v>
      </c>
      <c r="EC43" s="65"/>
      <c r="ED43" s="13"/>
      <c r="EE43" s="14"/>
      <c r="EG43" s="65">
        <f t="shared" si="169"/>
        <v>1</v>
      </c>
      <c r="EH43" s="13">
        <f t="shared" si="29"/>
        <v>1593692.1447105163</v>
      </c>
      <c r="EI43" s="14">
        <v>43054</v>
      </c>
      <c r="EK43" s="65"/>
      <c r="EL43" s="13"/>
      <c r="EM43" s="14"/>
      <c r="EO43" s="65">
        <f t="shared" si="114"/>
        <v>42</v>
      </c>
      <c r="EP43" s="13">
        <f t="shared" si="31"/>
        <v>1280541.9643174815</v>
      </c>
      <c r="EQ43" s="14">
        <v>43060</v>
      </c>
      <c r="ES43" s="65"/>
      <c r="ET43" s="13"/>
      <c r="EU43" s="14"/>
      <c r="EW43" s="65"/>
      <c r="EX43" s="13"/>
      <c r="EY43" s="14"/>
      <c r="FA43" s="65">
        <f t="shared" si="117"/>
        <v>41</v>
      </c>
      <c r="FB43" s="13">
        <f t="shared" si="34"/>
        <v>1260117.9907036941</v>
      </c>
      <c r="FC43" s="14">
        <v>43067</v>
      </c>
      <c r="FE43" s="65">
        <f t="shared" si="118"/>
        <v>36</v>
      </c>
      <c r="FF43" s="13">
        <f t="shared" si="35"/>
        <v>3154335.0289459662</v>
      </c>
      <c r="FG43" s="14">
        <v>43067</v>
      </c>
      <c r="FI43" s="65">
        <f t="shared" si="119"/>
        <v>33</v>
      </c>
      <c r="FJ43" s="13">
        <f t="shared" si="36"/>
        <v>1742071.0512030066</v>
      </c>
      <c r="FK43" s="14">
        <v>43069</v>
      </c>
      <c r="FM43" s="65"/>
      <c r="FN43" s="13"/>
      <c r="FO43" s="14"/>
      <c r="FQ43" s="65"/>
      <c r="FR43" s="13"/>
      <c r="FS43" s="14"/>
      <c r="FU43" s="65">
        <f t="shared" si="122"/>
        <v>8</v>
      </c>
      <c r="FV43" s="13">
        <f t="shared" si="39"/>
        <v>1906176.6658573272</v>
      </c>
      <c r="FW43" s="14">
        <v>43076</v>
      </c>
      <c r="FY43" s="65"/>
      <c r="FZ43" s="13"/>
      <c r="GA43" s="14"/>
      <c r="GC43" s="65"/>
      <c r="GD43" s="13"/>
      <c r="GE43" s="14"/>
      <c r="GG43" s="65"/>
      <c r="GH43" s="13"/>
      <c r="GI43" s="14"/>
      <c r="GK43" s="65"/>
      <c r="GL43" s="13"/>
      <c r="GM43" s="14"/>
      <c r="GO43" s="65"/>
      <c r="GP43" s="13"/>
      <c r="GQ43" s="14"/>
      <c r="GS43" s="65">
        <f t="shared" si="128"/>
        <v>0</v>
      </c>
      <c r="GT43" s="13">
        <f>($GU$2/(1+$GU$4*GS43/360))*0</f>
        <v>0</v>
      </c>
      <c r="GU43" s="14">
        <v>43104</v>
      </c>
      <c r="GW43" s="65">
        <f t="shared" si="129"/>
        <v>0</v>
      </c>
      <c r="GX43" s="13">
        <f>($GY$2/(1+$GY$4*GW43/360))*0</f>
        <v>0</v>
      </c>
      <c r="GY43" s="14">
        <v>43105</v>
      </c>
      <c r="HA43" s="65">
        <f t="shared" si="130"/>
        <v>0</v>
      </c>
      <c r="HB43" s="13">
        <f>($HC$2/(1+$HC$4*HA43/360))*0</f>
        <v>0</v>
      </c>
      <c r="HC43" s="14">
        <v>43105</v>
      </c>
      <c r="HE43" s="65"/>
      <c r="HF43" s="13"/>
      <c r="HG43" s="14"/>
      <c r="HI43" s="65"/>
      <c r="HJ43" s="13"/>
      <c r="HK43" s="14"/>
      <c r="HM43" s="65"/>
      <c r="HN43" s="13"/>
      <c r="HO43" s="14"/>
      <c r="HQ43" s="65"/>
      <c r="HR43" s="13"/>
      <c r="HS43" s="14"/>
      <c r="HU43" s="65"/>
      <c r="HV43" s="13"/>
      <c r="HW43" s="14"/>
      <c r="HY43" s="65"/>
      <c r="HZ43" s="13"/>
      <c r="IA43" s="14"/>
      <c r="IC43" s="65"/>
      <c r="ID43" s="13"/>
      <c r="IE43" s="14"/>
      <c r="IG43" s="65"/>
      <c r="IH43" s="13"/>
      <c r="II43" s="14"/>
      <c r="IK43" s="65">
        <f t="shared" si="139"/>
        <v>6</v>
      </c>
      <c r="IL43" s="13">
        <f t="shared" si="56"/>
        <v>2585718.0082613672</v>
      </c>
      <c r="IM43" s="14">
        <v>43130</v>
      </c>
      <c r="IO43" s="65"/>
      <c r="IP43" s="13"/>
      <c r="IQ43" s="14"/>
      <c r="IS43" s="65"/>
      <c r="IT43" s="13"/>
      <c r="IU43" s="14"/>
      <c r="IW43" s="65"/>
      <c r="IX43" s="13"/>
      <c r="IY43" s="14"/>
      <c r="JA43" s="65">
        <f t="shared" si="143"/>
        <v>23</v>
      </c>
      <c r="JB43" s="13">
        <f t="shared" si="60"/>
        <v>987551.24561864242</v>
      </c>
      <c r="JC43" s="14">
        <v>43143</v>
      </c>
      <c r="JE43" s="65">
        <f t="shared" si="144"/>
        <v>6</v>
      </c>
      <c r="JF43" s="13">
        <f t="shared" si="61"/>
        <v>1483150.0233367227</v>
      </c>
      <c r="JG43" s="14">
        <v>43154</v>
      </c>
      <c r="JI43" s="65"/>
      <c r="JJ43" s="13"/>
      <c r="JK43" s="14"/>
      <c r="JM43" s="65"/>
      <c r="JN43" s="13"/>
      <c r="JO43" s="14"/>
      <c r="JQ43" s="65">
        <f t="shared" si="147"/>
        <v>0</v>
      </c>
      <c r="JR43" s="13">
        <f>($JS$2/(1+$JS$4*JQ43/360))*0</f>
        <v>0</v>
      </c>
      <c r="JS43" s="14">
        <v>43160</v>
      </c>
      <c r="JU43" s="65">
        <f t="shared" si="148"/>
        <v>28</v>
      </c>
      <c r="JV43" s="13">
        <f t="shared" si="65"/>
        <v>1652616.4776798014</v>
      </c>
      <c r="JW43" s="14">
        <v>43165</v>
      </c>
      <c r="JY43" s="65">
        <f t="shared" si="149"/>
        <v>6</v>
      </c>
      <c r="JZ43" s="13">
        <f t="shared" si="66"/>
        <v>1483150.0233367227</v>
      </c>
      <c r="KA43" s="14">
        <v>43154</v>
      </c>
      <c r="KC43" s="65"/>
      <c r="KD43" s="13"/>
      <c r="KE43" s="14"/>
      <c r="KG43" s="65"/>
      <c r="KH43" s="13"/>
      <c r="KI43" s="14"/>
      <c r="KK43" s="65">
        <f t="shared" si="152"/>
        <v>0</v>
      </c>
      <c r="KL43" s="13">
        <f>($JS$2/(1+$JS$4*KK43/360))*0</f>
        <v>0</v>
      </c>
      <c r="KM43" s="14">
        <v>43160</v>
      </c>
      <c r="KO43" s="65"/>
      <c r="KP43" s="13"/>
      <c r="KQ43" s="14"/>
      <c r="KS43" s="65">
        <f t="shared" si="154"/>
        <v>16</v>
      </c>
      <c r="KT43" s="13">
        <f t="shared" si="71"/>
        <v>3309065.3973191595</v>
      </c>
      <c r="KU43" s="14">
        <v>43206</v>
      </c>
      <c r="KW43" s="65">
        <f t="shared" si="155"/>
        <v>7</v>
      </c>
      <c r="KX43" s="13">
        <f t="shared" si="72"/>
        <v>2990224.9477696479</v>
      </c>
      <c r="KY43" s="14">
        <v>43208</v>
      </c>
      <c r="LA43" s="65">
        <f t="shared" si="156"/>
        <v>44</v>
      </c>
      <c r="LB43" s="13">
        <f t="shared" si="73"/>
        <v>2633560.3872721689</v>
      </c>
      <c r="LC43" s="14">
        <v>43220</v>
      </c>
      <c r="LE43" s="65"/>
      <c r="LF43" s="13"/>
      <c r="LG43" s="14"/>
      <c r="LI43" s="65">
        <f t="shared" si="158"/>
        <v>4</v>
      </c>
      <c r="LJ43" s="13">
        <f t="shared" si="75"/>
        <v>2486462.7696835273</v>
      </c>
      <c r="LK43" s="14">
        <v>43227</v>
      </c>
      <c r="LM43" s="65">
        <f t="shared" si="159"/>
        <v>32</v>
      </c>
      <c r="LN43" s="13">
        <f t="shared" si="76"/>
        <v>744476.47448040755</v>
      </c>
      <c r="LO43" s="14">
        <v>43230</v>
      </c>
      <c r="LQ43" s="65">
        <f t="shared" si="160"/>
        <v>1</v>
      </c>
      <c r="LR43" s="13">
        <f t="shared" si="77"/>
        <v>2778300.7109677941</v>
      </c>
      <c r="LS43" s="14">
        <v>43243</v>
      </c>
      <c r="LU43" s="65"/>
      <c r="LV43" s="13"/>
      <c r="LW43" s="14"/>
      <c r="LY43" s="65">
        <f t="shared" si="162"/>
        <v>4</v>
      </c>
      <c r="LZ43" s="13">
        <f t="shared" si="79"/>
        <v>976726.6028449008</v>
      </c>
      <c r="MA43" s="14">
        <v>43255</v>
      </c>
      <c r="MC43" s="65"/>
      <c r="MD43" s="13"/>
      <c r="ME43" s="14"/>
      <c r="MG43" s="65"/>
      <c r="MH43" s="13"/>
      <c r="MI43" s="14"/>
      <c r="MK43" s="65"/>
      <c r="ML43" s="13"/>
      <c r="MM43" s="14"/>
      <c r="MO43" s="65"/>
      <c r="MP43" s="13"/>
      <c r="MQ43" s="14"/>
      <c r="MS43" s="65"/>
      <c r="MT43" s="13"/>
      <c r="MU43" s="14"/>
    </row>
    <row r="44" spans="1:359" x14ac:dyDescent="0.25">
      <c r="A44" s="15">
        <f t="shared" si="1"/>
        <v>732338.02151073329</v>
      </c>
      <c r="B44" s="20">
        <v>42738</v>
      </c>
      <c r="D44" s="12">
        <v>132</v>
      </c>
      <c r="E44" s="17">
        <v>1140571.0866392534</v>
      </c>
      <c r="F44" s="14">
        <v>42468</v>
      </c>
      <c r="I44" s="12"/>
      <c r="J44" s="13"/>
      <c r="K44" s="14"/>
      <c r="N44" s="12">
        <f t="shared" si="85"/>
        <v>62</v>
      </c>
      <c r="O44" s="13">
        <f t="shared" si="2"/>
        <v>732338.02151073329</v>
      </c>
      <c r="P44" s="14">
        <v>42738</v>
      </c>
      <c r="T44" s="15"/>
      <c r="U44" s="20"/>
      <c r="W44" s="12"/>
      <c r="X44" s="17"/>
      <c r="Y44" s="14"/>
      <c r="AB44" s="12"/>
      <c r="AC44" s="13"/>
      <c r="AD44" s="14"/>
      <c r="AG44" s="12"/>
      <c r="AH44" s="13"/>
      <c r="AI44" s="14"/>
      <c r="AK44" s="12">
        <f t="shared" si="87"/>
        <v>4</v>
      </c>
      <c r="AL44" s="13">
        <f t="shared" si="4"/>
        <v>1388481.9455777283</v>
      </c>
      <c r="AM44" s="14">
        <v>42994</v>
      </c>
      <c r="AO44" s="12">
        <f t="shared" si="88"/>
        <v>2</v>
      </c>
      <c r="AP44" s="13">
        <f t="shared" si="5"/>
        <v>3656298.8174368376</v>
      </c>
      <c r="AQ44" s="14">
        <v>42997</v>
      </c>
      <c r="BM44" s="65">
        <f t="shared" si="94"/>
        <v>16</v>
      </c>
      <c r="BN44" s="13">
        <f t="shared" si="11"/>
        <v>1865621.9671229818</v>
      </c>
      <c r="BO44" s="14">
        <v>43004</v>
      </c>
      <c r="BQ44" s="65">
        <f t="shared" si="95"/>
        <v>21</v>
      </c>
      <c r="BR44" s="13">
        <f t="shared" si="12"/>
        <v>4296495.1016980726</v>
      </c>
      <c r="BS44" s="14">
        <v>43011</v>
      </c>
      <c r="BU44" s="65"/>
      <c r="BV44" s="13"/>
      <c r="BW44" s="14">
        <v>43020</v>
      </c>
      <c r="BY44" s="65"/>
      <c r="BZ44" s="13"/>
      <c r="CA44" s="14">
        <v>43020</v>
      </c>
      <c r="CC44" s="65"/>
      <c r="CD44" s="13"/>
      <c r="CE44" s="14">
        <v>43021</v>
      </c>
      <c r="CG44" s="65">
        <f t="shared" si="170"/>
        <v>6</v>
      </c>
      <c r="CH44" s="13">
        <f t="shared" si="16"/>
        <v>974162.83106906468</v>
      </c>
      <c r="CI44" s="14">
        <v>43021</v>
      </c>
      <c r="CK44" s="65">
        <f t="shared" si="100"/>
        <v>30</v>
      </c>
      <c r="CL44" s="13">
        <f t="shared" si="17"/>
        <v>801343.65060443617</v>
      </c>
      <c r="CM44" s="14">
        <v>43025</v>
      </c>
      <c r="CO44" s="65"/>
      <c r="CP44" s="13"/>
      <c r="CQ44" s="14"/>
      <c r="CS44" s="65"/>
      <c r="CT44" s="13"/>
      <c r="CU44" s="14"/>
      <c r="CW44" s="65">
        <f t="shared" si="103"/>
        <v>12</v>
      </c>
      <c r="CX44" s="13">
        <f t="shared" si="20"/>
        <v>2549206.6913442519</v>
      </c>
      <c r="CY44" s="14">
        <v>43029</v>
      </c>
      <c r="DA44" s="65"/>
      <c r="DB44" s="13"/>
      <c r="DC44" s="14"/>
      <c r="DE44" s="65">
        <f t="shared" si="105"/>
        <v>11</v>
      </c>
      <c r="DF44" s="13">
        <f t="shared" si="22"/>
        <v>3201851.5203481154</v>
      </c>
      <c r="DG44" s="14">
        <v>43035</v>
      </c>
      <c r="DI44" s="65"/>
      <c r="DJ44" s="13"/>
      <c r="DK44" s="14"/>
      <c r="DM44" s="65"/>
      <c r="DN44" s="13"/>
      <c r="DO44" s="14"/>
      <c r="DQ44" s="65"/>
      <c r="DR44" s="13"/>
      <c r="DS44" s="14"/>
      <c r="DU44" s="65">
        <f t="shared" si="109"/>
        <v>56</v>
      </c>
      <c r="DV44" s="13">
        <f t="shared" si="26"/>
        <v>2332176.2406640276</v>
      </c>
      <c r="DW44" s="14">
        <v>43046</v>
      </c>
      <c r="DY44" s="65">
        <f t="shared" si="110"/>
        <v>67</v>
      </c>
      <c r="DZ44" s="13">
        <f t="shared" si="27"/>
        <v>792691.46317889763</v>
      </c>
      <c r="EA44" s="14">
        <v>43049</v>
      </c>
      <c r="EC44" s="65"/>
      <c r="ED44" s="13"/>
      <c r="EE44" s="14"/>
      <c r="EG44" s="65">
        <f t="shared" si="169"/>
        <v>0</v>
      </c>
      <c r="EH44" s="13">
        <f>($EI$2/(1+$EI$4*EG44/360))*0</f>
        <v>0</v>
      </c>
      <c r="EI44" s="14">
        <v>43055</v>
      </c>
      <c r="EK44" s="65"/>
      <c r="EL44" s="13"/>
      <c r="EM44" s="14"/>
      <c r="EO44" s="65">
        <f t="shared" si="114"/>
        <v>41</v>
      </c>
      <c r="EP44" s="13">
        <f t="shared" si="31"/>
        <v>1280616.9051384674</v>
      </c>
      <c r="EQ44" s="14">
        <v>43061</v>
      </c>
      <c r="ES44" s="65"/>
      <c r="ET44" s="13"/>
      <c r="EU44" s="14"/>
      <c r="EW44" s="65"/>
      <c r="EX44" s="13"/>
      <c r="EY44" s="14"/>
      <c r="FA44" s="65">
        <f t="shared" si="117"/>
        <v>40</v>
      </c>
      <c r="FB44" s="13">
        <f t="shared" si="34"/>
        <v>1260193.0903625756</v>
      </c>
      <c r="FC44" s="14">
        <v>43068</v>
      </c>
      <c r="FE44" s="65">
        <f t="shared" si="118"/>
        <v>35</v>
      </c>
      <c r="FF44" s="13">
        <f t="shared" si="35"/>
        <v>3154511.6562490435</v>
      </c>
      <c r="FG44" s="14">
        <v>43068</v>
      </c>
      <c r="FI44" s="65">
        <f t="shared" si="119"/>
        <v>32</v>
      </c>
      <c r="FJ44" s="13">
        <f t="shared" si="36"/>
        <v>1742177.4300080917</v>
      </c>
      <c r="FK44" s="14">
        <v>43070</v>
      </c>
      <c r="FM44" s="65"/>
      <c r="FN44" s="13"/>
      <c r="FO44" s="14"/>
      <c r="FQ44" s="65"/>
      <c r="FR44" s="13"/>
      <c r="FS44" s="14"/>
      <c r="FU44" s="65">
        <f t="shared" si="122"/>
        <v>7</v>
      </c>
      <c r="FV44" s="13">
        <f t="shared" si="39"/>
        <v>1906289.6833118016</v>
      </c>
      <c r="FW44" s="14">
        <v>43077</v>
      </c>
      <c r="FY44" s="65"/>
      <c r="FZ44" s="13"/>
      <c r="GA44" s="14"/>
      <c r="GC44" s="65"/>
      <c r="GD44" s="13"/>
      <c r="GE44" s="14"/>
      <c r="GG44" s="65"/>
      <c r="GH44" s="13"/>
      <c r="GI44" s="14"/>
      <c r="GK44" s="65"/>
      <c r="GL44" s="13"/>
      <c r="GM44" s="14"/>
      <c r="GO44" s="65"/>
      <c r="GP44" s="13"/>
      <c r="GQ44" s="14"/>
      <c r="GS44" s="65"/>
      <c r="GT44" s="13"/>
      <c r="GU44" s="14"/>
      <c r="GW44" s="65"/>
      <c r="GX44" s="13"/>
      <c r="GY44" s="14"/>
      <c r="HA44" s="65"/>
      <c r="HB44" s="13"/>
      <c r="HC44" s="14"/>
      <c r="HE44" s="65"/>
      <c r="HF44" s="13"/>
      <c r="HG44" s="14"/>
      <c r="HI44" s="65"/>
      <c r="HJ44" s="13"/>
      <c r="HK44" s="14"/>
      <c r="HM44" s="65"/>
      <c r="HN44" s="13"/>
      <c r="HO44" s="14"/>
      <c r="HQ44" s="65"/>
      <c r="HR44" s="13"/>
      <c r="HS44" s="14"/>
      <c r="HU44" s="65"/>
      <c r="HV44" s="13"/>
      <c r="HW44" s="14"/>
      <c r="HY44" s="65"/>
      <c r="HZ44" s="13"/>
      <c r="IA44" s="14"/>
      <c r="IC44" s="65"/>
      <c r="ID44" s="13"/>
      <c r="IE44" s="14"/>
      <c r="IG44" s="65"/>
      <c r="IH44" s="13"/>
      <c r="II44" s="14"/>
      <c r="IK44" s="65">
        <f t="shared" si="139"/>
        <v>5</v>
      </c>
      <c r="IL44" s="13">
        <f t="shared" si="56"/>
        <v>2585936.4620421957</v>
      </c>
      <c r="IM44" s="14">
        <v>43131</v>
      </c>
      <c r="IO44" s="65"/>
      <c r="IP44" s="13"/>
      <c r="IQ44" s="14"/>
      <c r="IS44" s="65"/>
      <c r="IT44" s="13"/>
      <c r="IU44" s="14"/>
      <c r="IW44" s="65"/>
      <c r="IX44" s="13"/>
      <c r="IY44" s="14"/>
      <c r="JA44" s="65">
        <f t="shared" si="143"/>
        <v>22</v>
      </c>
      <c r="JB44" s="13">
        <f t="shared" si="60"/>
        <v>987603.78564444347</v>
      </c>
      <c r="JC44" s="14">
        <v>43144</v>
      </c>
      <c r="JE44" s="65">
        <f t="shared" si="144"/>
        <v>5</v>
      </c>
      <c r="JF44" s="13">
        <f t="shared" si="61"/>
        <v>1483226.0259538626</v>
      </c>
      <c r="JG44" s="14">
        <v>43155</v>
      </c>
      <c r="JI44" s="65"/>
      <c r="JJ44" s="13"/>
      <c r="JK44" s="14"/>
      <c r="JM44" s="65"/>
      <c r="JN44" s="13"/>
      <c r="JO44" s="14"/>
      <c r="JQ44" s="65"/>
      <c r="JR44" s="13"/>
      <c r="JS44" s="14"/>
      <c r="JU44" s="65">
        <f t="shared" si="148"/>
        <v>27</v>
      </c>
      <c r="JV44" s="13">
        <f t="shared" si="65"/>
        <v>1652719.0060944709</v>
      </c>
      <c r="JW44" s="14">
        <v>43166</v>
      </c>
      <c r="JY44" s="65">
        <f t="shared" si="149"/>
        <v>5</v>
      </c>
      <c r="JZ44" s="13">
        <f t="shared" si="66"/>
        <v>1483226.0259538626</v>
      </c>
      <c r="KA44" s="14">
        <v>43155</v>
      </c>
      <c r="KC44" s="65"/>
      <c r="KD44" s="13"/>
      <c r="KE44" s="14"/>
      <c r="KG44" s="65"/>
      <c r="KH44" s="13"/>
      <c r="KI44" s="14"/>
      <c r="KK44" s="65"/>
      <c r="KL44" s="13"/>
      <c r="KM44" s="14"/>
      <c r="KO44" s="65"/>
      <c r="KP44" s="13"/>
      <c r="KQ44" s="14"/>
      <c r="KS44" s="65">
        <f t="shared" si="154"/>
        <v>15</v>
      </c>
      <c r="KT44" s="13">
        <f t="shared" si="71"/>
        <v>3309277.6556894039</v>
      </c>
      <c r="KU44" s="14">
        <v>43207</v>
      </c>
      <c r="KW44" s="65">
        <f t="shared" si="155"/>
        <v>6</v>
      </c>
      <c r="KX44" s="13">
        <f t="shared" si="72"/>
        <v>2990410.4599670884</v>
      </c>
      <c r="KY44" s="14">
        <v>43209</v>
      </c>
      <c r="LA44" s="65">
        <f t="shared" si="156"/>
        <v>43</v>
      </c>
      <c r="LB44" s="13">
        <f t="shared" si="73"/>
        <v>2633761.6301378785</v>
      </c>
      <c r="LC44" s="14">
        <v>43221</v>
      </c>
      <c r="LE44" s="65"/>
      <c r="LF44" s="13"/>
      <c r="LG44" s="14"/>
      <c r="LI44" s="65">
        <f t="shared" si="158"/>
        <v>3</v>
      </c>
      <c r="LJ44" s="13">
        <f t="shared" si="75"/>
        <v>2486634.4731837381</v>
      </c>
      <c r="LK44" s="14">
        <v>43228</v>
      </c>
      <c r="LM44" s="65">
        <f t="shared" si="159"/>
        <v>31</v>
      </c>
      <c r="LN44" s="13">
        <f t="shared" si="76"/>
        <v>744529.65530414192</v>
      </c>
      <c r="LO44" s="14">
        <v>43231</v>
      </c>
      <c r="LQ44" s="65">
        <f t="shared" si="160"/>
        <v>0</v>
      </c>
      <c r="LR44" s="13">
        <f t="shared" si="77"/>
        <v>2778479.4175670054</v>
      </c>
      <c r="LS44" s="14">
        <v>43244</v>
      </c>
      <c r="LU44" s="65"/>
      <c r="LV44" s="13"/>
      <c r="LW44" s="14"/>
      <c r="LY44" s="65">
        <f t="shared" si="162"/>
        <v>3</v>
      </c>
      <c r="LZ44" s="13">
        <f t="shared" si="79"/>
        <v>976792.89938703226</v>
      </c>
      <c r="MA44" s="14">
        <v>43256</v>
      </c>
      <c r="MC44" s="65"/>
      <c r="MD44" s="13"/>
      <c r="ME44" s="14"/>
      <c r="MG44" s="65"/>
      <c r="MH44" s="13"/>
      <c r="MI44" s="14"/>
      <c r="MK44" s="65"/>
      <c r="ML44" s="13"/>
      <c r="MM44" s="14"/>
      <c r="MO44" s="65"/>
      <c r="MP44" s="13"/>
      <c r="MQ44" s="14"/>
      <c r="MS44" s="65"/>
      <c r="MT44" s="13"/>
      <c r="MU44" s="14"/>
    </row>
    <row r="45" spans="1:359" x14ac:dyDescent="0.25">
      <c r="A45" s="15">
        <f t="shared" si="1"/>
        <v>732367.34437418857</v>
      </c>
      <c r="B45" s="20">
        <v>42739</v>
      </c>
      <c r="D45" s="12">
        <v>131</v>
      </c>
      <c r="E45" s="17">
        <v>1140598.2265736551</v>
      </c>
      <c r="F45" s="14">
        <v>42469</v>
      </c>
      <c r="I45" s="12"/>
      <c r="J45" s="13"/>
      <c r="K45" s="14"/>
      <c r="N45" s="12">
        <f t="shared" si="85"/>
        <v>61</v>
      </c>
      <c r="O45" s="13">
        <f t="shared" si="2"/>
        <v>732367.34437418857</v>
      </c>
      <c r="P45" s="14">
        <v>42739</v>
      </c>
      <c r="T45" s="15"/>
      <c r="U45" s="20"/>
      <c r="W45" s="12"/>
      <c r="X45" s="17"/>
      <c r="Y45" s="14"/>
      <c r="AB45" s="12"/>
      <c r="AC45" s="13"/>
      <c r="AD45" s="14"/>
      <c r="AG45" s="12"/>
      <c r="AH45" s="13"/>
      <c r="AI45" s="14"/>
      <c r="AK45" s="12">
        <f t="shared" si="87"/>
        <v>3</v>
      </c>
      <c r="AL45" s="13">
        <f t="shared" si="4"/>
        <v>1388551.5250596069</v>
      </c>
      <c r="AM45" s="14">
        <v>42995</v>
      </c>
      <c r="AO45" s="12">
        <f t="shared" si="88"/>
        <v>1</v>
      </c>
      <c r="AP45" s="13">
        <f t="shared" si="5"/>
        <v>3656498.3734280267</v>
      </c>
      <c r="AQ45" s="14">
        <v>42998</v>
      </c>
      <c r="BM45" s="65">
        <f t="shared" si="94"/>
        <v>15</v>
      </c>
      <c r="BN45" s="13">
        <f t="shared" si="11"/>
        <v>1865721.1545530895</v>
      </c>
      <c r="BO45" s="14">
        <v>43005</v>
      </c>
      <c r="BQ45" s="65">
        <f t="shared" si="95"/>
        <v>20</v>
      </c>
      <c r="BR45" s="13">
        <f t="shared" si="12"/>
        <v>4296795.3429852584</v>
      </c>
      <c r="BS45" s="14">
        <v>43012</v>
      </c>
      <c r="BU45" s="65"/>
      <c r="BV45" s="13"/>
      <c r="BW45" s="14">
        <v>43021</v>
      </c>
      <c r="BY45" s="65"/>
      <c r="BZ45" s="13"/>
      <c r="CA45" s="14">
        <v>43021</v>
      </c>
      <c r="CC45" s="65"/>
      <c r="CD45" s="13"/>
      <c r="CE45" s="14">
        <v>43022</v>
      </c>
      <c r="CG45" s="65">
        <f t="shared" si="170"/>
        <v>5</v>
      </c>
      <c r="CH45" s="13">
        <f t="shared" si="16"/>
        <v>974205.92178541177</v>
      </c>
      <c r="CI45" s="14">
        <v>43022</v>
      </c>
      <c r="CK45" s="65">
        <f t="shared" si="100"/>
        <v>29</v>
      </c>
      <c r="CL45" s="13">
        <f t="shared" si="17"/>
        <v>801381.41245769616</v>
      </c>
      <c r="CM45" s="14">
        <v>43026</v>
      </c>
      <c r="CO45" s="65"/>
      <c r="CP45" s="13"/>
      <c r="CQ45" s="14"/>
      <c r="CS45" s="65"/>
      <c r="CT45" s="13"/>
      <c r="CU45" s="14"/>
      <c r="CW45" s="65">
        <f t="shared" si="103"/>
        <v>11</v>
      </c>
      <c r="CX45" s="13">
        <f t="shared" si="20"/>
        <v>2549320.5012934646</v>
      </c>
      <c r="CY45" s="14">
        <v>43030</v>
      </c>
      <c r="DA45" s="65"/>
      <c r="DB45" s="13"/>
      <c r="DC45" s="14"/>
      <c r="DE45" s="65">
        <f t="shared" si="105"/>
        <v>10</v>
      </c>
      <c r="DF45" s="13">
        <f t="shared" si="22"/>
        <v>3202009.3061429462</v>
      </c>
      <c r="DG45" s="14">
        <v>43036</v>
      </c>
      <c r="DI45" s="65"/>
      <c r="DJ45" s="13"/>
      <c r="DK45" s="14"/>
      <c r="DM45" s="65"/>
      <c r="DN45" s="13"/>
      <c r="DO45" s="14"/>
      <c r="DQ45" s="65"/>
      <c r="DR45" s="13"/>
      <c r="DS45" s="14"/>
      <c r="DU45" s="65">
        <f t="shared" si="109"/>
        <v>55</v>
      </c>
      <c r="DV45" s="13">
        <f t="shared" si="26"/>
        <v>2332291.2493132711</v>
      </c>
      <c r="DW45" s="14">
        <v>43047</v>
      </c>
      <c r="DY45" s="65">
        <f t="shared" si="110"/>
        <v>66</v>
      </c>
      <c r="DZ45" s="13">
        <f t="shared" si="27"/>
        <v>792732.96405920445</v>
      </c>
      <c r="EA45" s="14">
        <v>43050</v>
      </c>
      <c r="EC45" s="65"/>
      <c r="ED45" s="13"/>
      <c r="EE45" s="14"/>
      <c r="EG45" s="65"/>
      <c r="EH45" s="13"/>
      <c r="EI45" s="14"/>
      <c r="EK45" s="65"/>
      <c r="EL45" s="13"/>
      <c r="EM45" s="14"/>
      <c r="EO45" s="65">
        <f t="shared" si="114"/>
        <v>40</v>
      </c>
      <c r="EP45" s="13">
        <f t="shared" si="31"/>
        <v>1280691.8547314506</v>
      </c>
      <c r="EQ45" s="14">
        <v>43062</v>
      </c>
      <c r="ES45" s="65"/>
      <c r="ET45" s="13"/>
      <c r="EU45" s="14"/>
      <c r="EW45" s="65"/>
      <c r="EX45" s="13"/>
      <c r="EY45" s="14"/>
      <c r="FA45" s="65">
        <f t="shared" si="117"/>
        <v>39</v>
      </c>
      <c r="FB45" s="13">
        <f t="shared" si="34"/>
        <v>1260268.1989734676</v>
      </c>
      <c r="FC45" s="14">
        <v>43069</v>
      </c>
      <c r="FE45" s="65">
        <f t="shared" si="118"/>
        <v>34</v>
      </c>
      <c r="FF45" s="13">
        <f t="shared" si="35"/>
        <v>3154688.3033337551</v>
      </c>
      <c r="FG45" s="14">
        <v>43069</v>
      </c>
      <c r="FI45" s="65">
        <f t="shared" si="119"/>
        <v>31</v>
      </c>
      <c r="FJ45" s="13">
        <f t="shared" si="36"/>
        <v>1742283.8218059202</v>
      </c>
      <c r="FK45" s="14">
        <v>43071</v>
      </c>
      <c r="FM45" s="65"/>
      <c r="FN45" s="13"/>
      <c r="FO45" s="14"/>
      <c r="FQ45" s="65"/>
      <c r="FR45" s="13"/>
      <c r="FS45" s="14"/>
      <c r="FU45" s="65">
        <f t="shared" si="122"/>
        <v>6</v>
      </c>
      <c r="FV45" s="13">
        <f t="shared" si="39"/>
        <v>1906402.7141687088</v>
      </c>
      <c r="FW45" s="14">
        <v>43078</v>
      </c>
      <c r="FY45" s="65"/>
      <c r="FZ45" s="13"/>
      <c r="GA45" s="14"/>
      <c r="GC45" s="65"/>
      <c r="GD45" s="13"/>
      <c r="GE45" s="14"/>
      <c r="GG45" s="65"/>
      <c r="GH45" s="13"/>
      <c r="GI45" s="14"/>
      <c r="GK45" s="65"/>
      <c r="GL45" s="13"/>
      <c r="GM45" s="14"/>
      <c r="GO45" s="65"/>
      <c r="GP45" s="13"/>
      <c r="GQ45" s="14"/>
      <c r="GS45" s="65"/>
      <c r="GT45" s="13"/>
      <c r="GU45" s="14"/>
      <c r="GW45" s="65"/>
      <c r="GX45" s="13"/>
      <c r="GY45" s="14"/>
      <c r="HA45" s="65"/>
      <c r="HB45" s="13"/>
      <c r="HC45" s="14"/>
      <c r="HE45" s="65"/>
      <c r="HF45" s="13"/>
      <c r="HG45" s="14"/>
      <c r="HI45" s="65"/>
      <c r="HJ45" s="13"/>
      <c r="HK45" s="14"/>
      <c r="HM45" s="65"/>
      <c r="HN45" s="13"/>
      <c r="HO45" s="14"/>
      <c r="HQ45" s="65"/>
      <c r="HR45" s="13"/>
      <c r="HS45" s="14"/>
      <c r="HU45" s="65"/>
      <c r="HV45" s="13"/>
      <c r="HW45" s="14"/>
      <c r="HY45" s="65"/>
      <c r="HZ45" s="13"/>
      <c r="IA45" s="14"/>
      <c r="IC45" s="65"/>
      <c r="ID45" s="13"/>
      <c r="IE45" s="14"/>
      <c r="IG45" s="65"/>
      <c r="IH45" s="13"/>
      <c r="II45" s="14"/>
      <c r="IK45" s="65">
        <f t="shared" si="139"/>
        <v>4</v>
      </c>
      <c r="IL45" s="13">
        <f t="shared" si="56"/>
        <v>2586154.9527381761</v>
      </c>
      <c r="IM45" s="14">
        <v>43132</v>
      </c>
      <c r="IO45" s="65"/>
      <c r="IP45" s="13"/>
      <c r="IQ45" s="14"/>
      <c r="IS45" s="65"/>
      <c r="IT45" s="13"/>
      <c r="IU45" s="14"/>
      <c r="IW45" s="65"/>
      <c r="IX45" s="13"/>
      <c r="IY45" s="14"/>
      <c r="JA45" s="65">
        <f t="shared" si="143"/>
        <v>21</v>
      </c>
      <c r="JB45" s="13">
        <f t="shared" si="60"/>
        <v>987656.3312610453</v>
      </c>
      <c r="JC45" s="14">
        <v>43145</v>
      </c>
      <c r="JE45" s="65">
        <f t="shared" si="144"/>
        <v>4</v>
      </c>
      <c r="JF45" s="13">
        <f t="shared" si="61"/>
        <v>1483302.0363607656</v>
      </c>
      <c r="JG45" s="14">
        <v>43156</v>
      </c>
      <c r="JI45" s="65"/>
      <c r="JJ45" s="13"/>
      <c r="JK45" s="14"/>
      <c r="JM45" s="65"/>
      <c r="JN45" s="13"/>
      <c r="JO45" s="14"/>
      <c r="JQ45" s="65"/>
      <c r="JR45" s="13"/>
      <c r="JS45" s="14"/>
      <c r="JU45" s="65">
        <f t="shared" si="148"/>
        <v>26</v>
      </c>
      <c r="JV45" s="13">
        <f t="shared" si="65"/>
        <v>1652821.547231666</v>
      </c>
      <c r="JW45" s="14">
        <v>43167</v>
      </c>
      <c r="JY45" s="65">
        <f t="shared" si="149"/>
        <v>4</v>
      </c>
      <c r="JZ45" s="13">
        <f t="shared" si="66"/>
        <v>1483302.0363607656</v>
      </c>
      <c r="KA45" s="14">
        <v>43156</v>
      </c>
      <c r="KC45" s="65"/>
      <c r="KD45" s="13"/>
      <c r="KE45" s="14"/>
      <c r="KG45" s="65"/>
      <c r="KH45" s="13"/>
      <c r="KI45" s="14"/>
      <c r="KK45" s="65"/>
      <c r="KL45" s="13"/>
      <c r="KM45" s="14"/>
      <c r="KO45" s="65"/>
      <c r="KP45" s="13"/>
      <c r="KQ45" s="14"/>
      <c r="KS45" s="65">
        <f t="shared" si="154"/>
        <v>14</v>
      </c>
      <c r="KT45" s="13">
        <f t="shared" si="71"/>
        <v>3309489.9412918128</v>
      </c>
      <c r="KU45" s="14">
        <v>43208</v>
      </c>
      <c r="KW45" s="65">
        <f t="shared" si="155"/>
        <v>5</v>
      </c>
      <c r="KX45" s="13">
        <f t="shared" si="72"/>
        <v>2990595.9951841421</v>
      </c>
      <c r="KY45" s="14">
        <v>43210</v>
      </c>
      <c r="LA45" s="65">
        <f t="shared" si="156"/>
        <v>42</v>
      </c>
      <c r="LB45" s="13">
        <f t="shared" si="73"/>
        <v>2633962.9037617869</v>
      </c>
      <c r="LC45" s="14">
        <v>43222</v>
      </c>
      <c r="LE45" s="65"/>
      <c r="LF45" s="13"/>
      <c r="LG45" s="14"/>
      <c r="LI45" s="65">
        <f t="shared" si="158"/>
        <v>2</v>
      </c>
      <c r="LJ45" s="13">
        <f t="shared" si="75"/>
        <v>2486806.2003996698</v>
      </c>
      <c r="LK45" s="14">
        <v>43229</v>
      </c>
      <c r="LM45" s="65">
        <f t="shared" si="159"/>
        <v>30</v>
      </c>
      <c r="LN45" s="13">
        <f t="shared" si="76"/>
        <v>744582.8437262415</v>
      </c>
      <c r="LO45" s="14">
        <v>43232</v>
      </c>
      <c r="LQ45" s="65"/>
      <c r="LR45" s="13"/>
      <c r="LS45" s="14"/>
      <c r="LU45" s="65"/>
      <c r="LV45" s="13"/>
      <c r="LW45" s="14"/>
      <c r="LY45" s="65">
        <f t="shared" si="162"/>
        <v>2</v>
      </c>
      <c r="LZ45" s="13">
        <f t="shared" si="79"/>
        <v>976859.20492969616</v>
      </c>
      <c r="MA45" s="14">
        <v>43257</v>
      </c>
      <c r="MC45" s="65"/>
      <c r="MD45" s="13"/>
      <c r="ME45" s="14"/>
      <c r="MG45" s="65"/>
      <c r="MH45" s="13"/>
      <c r="MI45" s="14"/>
      <c r="MK45" s="65"/>
      <c r="ML45" s="13"/>
      <c r="MM45" s="14"/>
      <c r="MO45" s="65"/>
      <c r="MP45" s="13"/>
      <c r="MQ45" s="14"/>
      <c r="MS45" s="65"/>
      <c r="MT45" s="13"/>
      <c r="MU45" s="14"/>
    </row>
    <row r="46" spans="1:359" x14ac:dyDescent="0.25">
      <c r="A46" s="15">
        <f t="shared" si="1"/>
        <v>732396.6695859168</v>
      </c>
      <c r="B46" s="20">
        <v>42740</v>
      </c>
      <c r="D46" s="12">
        <v>130</v>
      </c>
      <c r="E46" s="17">
        <v>1140625.3677996797</v>
      </c>
      <c r="F46" s="14">
        <v>42470</v>
      </c>
      <c r="I46" s="12"/>
      <c r="J46" s="13"/>
      <c r="K46" s="14"/>
      <c r="N46" s="12">
        <f t="shared" si="85"/>
        <v>60</v>
      </c>
      <c r="O46" s="13">
        <f t="shared" si="2"/>
        <v>732396.6695859168</v>
      </c>
      <c r="P46" s="14">
        <v>42740</v>
      </c>
      <c r="T46" s="15"/>
      <c r="U46" s="20"/>
      <c r="W46" s="12"/>
      <c r="X46" s="17"/>
      <c r="Y46" s="14"/>
      <c r="AB46" s="12"/>
      <c r="AC46" s="13"/>
      <c r="AD46" s="14"/>
      <c r="AG46" s="12"/>
      <c r="AH46" s="13"/>
      <c r="AI46" s="14"/>
      <c r="AK46" s="12">
        <f t="shared" si="87"/>
        <v>2</v>
      </c>
      <c r="AL46" s="13">
        <f t="shared" si="4"/>
        <v>1388621.1115153562</v>
      </c>
      <c r="AM46" s="14">
        <v>42996</v>
      </c>
      <c r="AO46" s="40">
        <f t="shared" si="88"/>
        <v>0</v>
      </c>
      <c r="AP46" s="13">
        <f>($AQ$2/(1+$AQ$4*AO46/360))*0</f>
        <v>0</v>
      </c>
      <c r="AQ46" s="14">
        <v>42999</v>
      </c>
      <c r="BM46" s="65">
        <f t="shared" si="94"/>
        <v>14</v>
      </c>
      <c r="BN46" s="13">
        <f t="shared" si="11"/>
        <v>1865820.3525305316</v>
      </c>
      <c r="BO46" s="14">
        <v>43006</v>
      </c>
      <c r="BQ46" s="65">
        <f t="shared" si="95"/>
        <v>19</v>
      </c>
      <c r="BR46" s="13">
        <f t="shared" si="12"/>
        <v>4297095.6262374083</v>
      </c>
      <c r="BS46" s="14">
        <v>43013</v>
      </c>
      <c r="BU46" s="65"/>
      <c r="BV46" s="13"/>
      <c r="BW46" s="14">
        <v>43022</v>
      </c>
      <c r="BY46" s="65"/>
      <c r="BZ46" s="13"/>
      <c r="CA46" s="14">
        <v>43022</v>
      </c>
      <c r="CC46" s="65"/>
      <c r="CD46" s="13"/>
      <c r="CE46" s="14">
        <v>43023</v>
      </c>
      <c r="CG46" s="65">
        <f t="shared" si="170"/>
        <v>4</v>
      </c>
      <c r="CH46" s="13">
        <f t="shared" si="16"/>
        <v>974249.01631404145</v>
      </c>
      <c r="CI46" s="14">
        <v>43023</v>
      </c>
      <c r="CK46" s="65">
        <f t="shared" si="100"/>
        <v>28</v>
      </c>
      <c r="CL46" s="13">
        <f t="shared" si="17"/>
        <v>801419.17787004018</v>
      </c>
      <c r="CM46" s="14">
        <v>43027</v>
      </c>
      <c r="CO46" s="65"/>
      <c r="CP46" s="13"/>
      <c r="CQ46" s="14"/>
      <c r="CS46" s="65"/>
      <c r="CT46" s="13"/>
      <c r="CU46" s="14"/>
      <c r="CW46" s="65">
        <f t="shared" si="103"/>
        <v>10</v>
      </c>
      <c r="CX46" s="13">
        <f t="shared" si="20"/>
        <v>2549434.3214052767</v>
      </c>
      <c r="CY46" s="14">
        <v>43031</v>
      </c>
      <c r="DA46" s="65"/>
      <c r="DB46" s="13"/>
      <c r="DC46" s="14"/>
      <c r="DE46" s="65">
        <f t="shared" si="105"/>
        <v>9</v>
      </c>
      <c r="DF46" s="13">
        <f t="shared" si="22"/>
        <v>3202167.1074897684</v>
      </c>
      <c r="DG46" s="14">
        <v>43037</v>
      </c>
      <c r="DI46" s="65"/>
      <c r="DJ46" s="13"/>
      <c r="DK46" s="14"/>
      <c r="DM46" s="65"/>
      <c r="DN46" s="13"/>
      <c r="DO46" s="14"/>
      <c r="DQ46" s="65"/>
      <c r="DR46" s="13"/>
      <c r="DS46" s="14"/>
      <c r="DU46" s="65">
        <f t="shared" si="109"/>
        <v>54</v>
      </c>
      <c r="DV46" s="13">
        <f t="shared" si="26"/>
        <v>2332406.2693061181</v>
      </c>
      <c r="DW46" s="14">
        <v>43048</v>
      </c>
      <c r="DY46" s="65">
        <f t="shared" si="110"/>
        <v>65</v>
      </c>
      <c r="DZ46" s="13">
        <f t="shared" si="27"/>
        <v>792774.46928524552</v>
      </c>
      <c r="EA46" s="14">
        <v>43051</v>
      </c>
      <c r="EC46" s="65"/>
      <c r="ED46" s="13"/>
      <c r="EE46" s="14"/>
      <c r="EG46" s="65"/>
      <c r="EH46" s="13"/>
      <c r="EI46" s="14"/>
      <c r="EK46" s="65"/>
      <c r="EL46" s="13"/>
      <c r="EM46" s="14"/>
      <c r="EO46" s="65">
        <f t="shared" si="114"/>
        <v>39</v>
      </c>
      <c r="EP46" s="13">
        <f t="shared" si="31"/>
        <v>1280766.813097971</v>
      </c>
      <c r="EQ46" s="14">
        <v>43063</v>
      </c>
      <c r="ES46" s="65"/>
      <c r="ET46" s="13"/>
      <c r="EU46" s="14"/>
      <c r="EW46" s="65"/>
      <c r="EX46" s="13"/>
      <c r="EY46" s="14"/>
      <c r="FA46" s="65">
        <f t="shared" si="117"/>
        <v>38</v>
      </c>
      <c r="FB46" s="13">
        <f t="shared" si="34"/>
        <v>1260343.3165379714</v>
      </c>
      <c r="FC46" s="14">
        <v>43070</v>
      </c>
      <c r="FE46" s="65">
        <f t="shared" si="118"/>
        <v>33</v>
      </c>
      <c r="FF46" s="13">
        <f t="shared" si="35"/>
        <v>3154864.9702034239</v>
      </c>
      <c r="FG46" s="14">
        <v>43070</v>
      </c>
      <c r="FI46" s="65">
        <f t="shared" si="119"/>
        <v>30</v>
      </c>
      <c r="FJ46" s="13">
        <f t="shared" si="36"/>
        <v>1742390.2265988728</v>
      </c>
      <c r="FK46" s="14">
        <v>43072</v>
      </c>
      <c r="FM46" s="65"/>
      <c r="FN46" s="13"/>
      <c r="FO46" s="14"/>
      <c r="FQ46" s="65"/>
      <c r="FR46" s="13"/>
      <c r="FS46" s="14"/>
      <c r="FU46" s="65">
        <f t="shared" si="122"/>
        <v>5</v>
      </c>
      <c r="FV46" s="13">
        <f t="shared" si="39"/>
        <v>1906515.7584304325</v>
      </c>
      <c r="FW46" s="14">
        <v>43079</v>
      </c>
      <c r="FY46" s="65"/>
      <c r="FZ46" s="13"/>
      <c r="GA46" s="14"/>
      <c r="GC46" s="65"/>
      <c r="GD46" s="13"/>
      <c r="GE46" s="14"/>
      <c r="GG46" s="65"/>
      <c r="GH46" s="13"/>
      <c r="GI46" s="14"/>
      <c r="GK46" s="65"/>
      <c r="GL46" s="13"/>
      <c r="GM46" s="14"/>
      <c r="GO46" s="65"/>
      <c r="GP46" s="13"/>
      <c r="GQ46" s="14"/>
      <c r="GS46" s="65"/>
      <c r="GT46" s="13"/>
      <c r="GU46" s="14"/>
      <c r="GW46" s="65"/>
      <c r="GX46" s="13"/>
      <c r="GY46" s="14"/>
      <c r="HA46" s="65"/>
      <c r="HB46" s="13"/>
      <c r="HC46" s="14"/>
      <c r="HE46" s="65"/>
      <c r="HF46" s="13"/>
      <c r="HG46" s="14"/>
      <c r="HI46" s="65"/>
      <c r="HJ46" s="13"/>
      <c r="HK46" s="14"/>
      <c r="HM46" s="65"/>
      <c r="HN46" s="13"/>
      <c r="HO46" s="14"/>
      <c r="HQ46" s="65"/>
      <c r="HR46" s="13"/>
      <c r="HS46" s="14"/>
      <c r="HU46" s="65"/>
      <c r="HV46" s="13"/>
      <c r="HW46" s="14"/>
      <c r="HY46" s="65"/>
      <c r="HZ46" s="13"/>
      <c r="IA46" s="14"/>
      <c r="IC46" s="65"/>
      <c r="ID46" s="13"/>
      <c r="IE46" s="14"/>
      <c r="IG46" s="65"/>
      <c r="IH46" s="13"/>
      <c r="II46" s="14"/>
      <c r="IK46" s="65">
        <f t="shared" si="139"/>
        <v>3</v>
      </c>
      <c r="IL46" s="13">
        <f t="shared" si="56"/>
        <v>2586373.4803586663</v>
      </c>
      <c r="IM46" s="14">
        <v>43133</v>
      </c>
      <c r="IO46" s="65"/>
      <c r="IP46" s="13"/>
      <c r="IQ46" s="14"/>
      <c r="IS46" s="65"/>
      <c r="IT46" s="13"/>
      <c r="IU46" s="14"/>
      <c r="IW46" s="65"/>
      <c r="IX46" s="13"/>
      <c r="IY46" s="14"/>
      <c r="JA46" s="65">
        <f t="shared" si="143"/>
        <v>20</v>
      </c>
      <c r="JB46" s="13">
        <f t="shared" si="60"/>
        <v>987708.88246934034</v>
      </c>
      <c r="JC46" s="14">
        <v>43146</v>
      </c>
      <c r="JE46" s="65">
        <f t="shared" si="144"/>
        <v>3</v>
      </c>
      <c r="JF46" s="13">
        <f t="shared" si="61"/>
        <v>1483378.0545586296</v>
      </c>
      <c r="JG46" s="14">
        <v>43157</v>
      </c>
      <c r="JI46" s="65"/>
      <c r="JJ46" s="13"/>
      <c r="JK46" s="14"/>
      <c r="JM46" s="65"/>
      <c r="JN46" s="13"/>
      <c r="JO46" s="14"/>
      <c r="JQ46" s="65"/>
      <c r="JR46" s="13"/>
      <c r="JS46" s="14"/>
      <c r="JU46" s="65">
        <f t="shared" si="148"/>
        <v>25</v>
      </c>
      <c r="JV46" s="13">
        <f t="shared" si="65"/>
        <v>1652924.101093756</v>
      </c>
      <c r="JW46" s="14">
        <v>43168</v>
      </c>
      <c r="JY46" s="65">
        <f t="shared" si="149"/>
        <v>3</v>
      </c>
      <c r="JZ46" s="13">
        <f t="shared" si="66"/>
        <v>1483378.0545586296</v>
      </c>
      <c r="KA46" s="14">
        <v>43157</v>
      </c>
      <c r="KC46" s="65"/>
      <c r="KD46" s="13"/>
      <c r="KE46" s="14"/>
      <c r="KG46" s="65"/>
      <c r="KH46" s="13"/>
      <c r="KI46" s="14"/>
      <c r="KK46" s="65"/>
      <c r="KL46" s="13"/>
      <c r="KM46" s="14"/>
      <c r="KO46" s="65"/>
      <c r="KP46" s="13"/>
      <c r="KQ46" s="14"/>
      <c r="KS46" s="65">
        <f t="shared" si="154"/>
        <v>13</v>
      </c>
      <c r="KT46" s="13">
        <f t="shared" si="71"/>
        <v>3309702.2541316263</v>
      </c>
      <c r="KU46" s="14">
        <v>43209</v>
      </c>
      <c r="KW46" s="65">
        <f t="shared" si="155"/>
        <v>4</v>
      </c>
      <c r="KX46" s="13">
        <f t="shared" si="72"/>
        <v>2990781.5534250936</v>
      </c>
      <c r="KY46" s="14">
        <v>43211</v>
      </c>
      <c r="LA46" s="65">
        <f t="shared" si="156"/>
        <v>41</v>
      </c>
      <c r="LB46" s="13">
        <f t="shared" si="73"/>
        <v>2634164.2081509456</v>
      </c>
      <c r="LC46" s="14">
        <v>43223</v>
      </c>
      <c r="LE46" s="65"/>
      <c r="LF46" s="13"/>
      <c r="LG46" s="14"/>
      <c r="LI46" s="65">
        <f t="shared" si="158"/>
        <v>1</v>
      </c>
      <c r="LJ46" s="13">
        <f t="shared" si="75"/>
        <v>2486977.9513362353</v>
      </c>
      <c r="LK46" s="14">
        <v>43230</v>
      </c>
      <c r="LM46" s="65">
        <f t="shared" si="159"/>
        <v>29</v>
      </c>
      <c r="LN46" s="13">
        <f t="shared" si="76"/>
        <v>744636.03974833479</v>
      </c>
      <c r="LO46" s="14">
        <v>43233</v>
      </c>
      <c r="LQ46" s="65"/>
      <c r="LR46" s="13"/>
      <c r="LS46" s="14"/>
      <c r="LU46" s="65"/>
      <c r="LV46" s="13"/>
      <c r="LW46" s="14"/>
      <c r="LY46" s="65">
        <f t="shared" si="162"/>
        <v>1</v>
      </c>
      <c r="LZ46" s="13">
        <f t="shared" si="79"/>
        <v>976925.51947472582</v>
      </c>
      <c r="MA46" s="14">
        <v>43258</v>
      </c>
      <c r="MC46" s="65"/>
      <c r="MD46" s="13"/>
      <c r="ME46" s="14"/>
      <c r="MG46" s="65"/>
      <c r="MH46" s="13"/>
      <c r="MI46" s="14"/>
      <c r="MK46" s="65"/>
      <c r="ML46" s="13"/>
      <c r="MM46" s="14"/>
      <c r="MO46" s="65"/>
      <c r="MP46" s="13"/>
      <c r="MQ46" s="14"/>
      <c r="MS46" s="65"/>
      <c r="MT46" s="13"/>
      <c r="MU46" s="14"/>
    </row>
    <row r="47" spans="1:359" x14ac:dyDescent="0.25">
      <c r="A47" s="15">
        <f t="shared" si="1"/>
        <v>732425.99714620004</v>
      </c>
      <c r="B47" s="20">
        <v>42741</v>
      </c>
      <c r="D47" s="12">
        <v>129</v>
      </c>
      <c r="E47" s="17">
        <v>1140652.5103174185</v>
      </c>
      <c r="F47" s="14">
        <v>42471</v>
      </c>
      <c r="I47" s="12"/>
      <c r="J47" s="13"/>
      <c r="K47" s="14"/>
      <c r="N47" s="12">
        <f t="shared" si="85"/>
        <v>59</v>
      </c>
      <c r="O47" s="13">
        <f t="shared" si="2"/>
        <v>732425.99714620004</v>
      </c>
      <c r="P47" s="14">
        <v>42741</v>
      </c>
      <c r="T47" s="15"/>
      <c r="U47" s="20"/>
      <c r="W47" s="12"/>
      <c r="X47" s="17"/>
      <c r="Y47" s="14"/>
      <c r="AB47" s="12"/>
      <c r="AC47" s="13"/>
      <c r="AD47" s="14"/>
      <c r="AG47" s="12"/>
      <c r="AH47" s="13"/>
      <c r="AI47" s="14"/>
      <c r="AK47" s="12">
        <f t="shared" si="87"/>
        <v>1</v>
      </c>
      <c r="AL47" s="13">
        <f t="shared" si="4"/>
        <v>1388690.7049460253</v>
      </c>
      <c r="AM47" s="14">
        <v>42997</v>
      </c>
      <c r="BM47" s="65">
        <f t="shared" si="94"/>
        <v>13</v>
      </c>
      <c r="BN47" s="13">
        <f t="shared" si="11"/>
        <v>1865919.5610569906</v>
      </c>
      <c r="BO47" s="14">
        <v>43007</v>
      </c>
      <c r="BQ47" s="65">
        <f t="shared" si="95"/>
        <v>18</v>
      </c>
      <c r="BR47" s="13">
        <f t="shared" si="12"/>
        <v>4297395.9514633203</v>
      </c>
      <c r="BS47" s="14">
        <v>43014</v>
      </c>
      <c r="BU47" s="65"/>
      <c r="BV47" s="13"/>
      <c r="BW47" s="14">
        <v>43023</v>
      </c>
      <c r="BY47" s="65"/>
      <c r="BZ47" s="13"/>
      <c r="CA47" s="14">
        <v>43023</v>
      </c>
      <c r="CC47" s="65"/>
      <c r="CD47" s="13"/>
      <c r="CE47" s="14">
        <v>43024</v>
      </c>
      <c r="CG47" s="65">
        <f t="shared" si="170"/>
        <v>3</v>
      </c>
      <c r="CH47" s="13">
        <f t="shared" si="16"/>
        <v>974292.1146554593</v>
      </c>
      <c r="CI47" s="14">
        <v>43024</v>
      </c>
      <c r="CK47" s="65">
        <f t="shared" si="100"/>
        <v>27</v>
      </c>
      <c r="CL47" s="13">
        <f t="shared" si="17"/>
        <v>801456.94684197183</v>
      </c>
      <c r="CM47" s="14">
        <v>43028</v>
      </c>
      <c r="CO47" s="65"/>
      <c r="CP47" s="13"/>
      <c r="CQ47" s="14"/>
      <c r="CS47" s="65"/>
      <c r="CT47" s="13"/>
      <c r="CU47" s="14"/>
      <c r="CW47" s="65">
        <f t="shared" si="103"/>
        <v>9</v>
      </c>
      <c r="CX47" s="13">
        <f t="shared" si="20"/>
        <v>2549548.1516810493</v>
      </c>
      <c r="CY47" s="14">
        <v>43032</v>
      </c>
      <c r="DA47" s="65"/>
      <c r="DB47" s="13"/>
      <c r="DC47" s="14"/>
      <c r="DE47" s="65">
        <f t="shared" si="105"/>
        <v>8</v>
      </c>
      <c r="DF47" s="13">
        <f t="shared" si="22"/>
        <v>3202324.9243908818</v>
      </c>
      <c r="DG47" s="14">
        <v>43038</v>
      </c>
      <c r="DI47" s="65"/>
      <c r="DJ47" s="13"/>
      <c r="DK47" s="14"/>
      <c r="DM47" s="65"/>
      <c r="DN47" s="13"/>
      <c r="DO47" s="14"/>
      <c r="DQ47" s="65"/>
      <c r="DR47" s="13"/>
      <c r="DS47" s="14"/>
      <c r="DU47" s="65">
        <f t="shared" si="109"/>
        <v>53</v>
      </c>
      <c r="DV47" s="13">
        <f t="shared" si="26"/>
        <v>2332521.3006442473</v>
      </c>
      <c r="DW47" s="14">
        <v>43049</v>
      </c>
      <c r="DY47" s="65">
        <f t="shared" si="110"/>
        <v>64</v>
      </c>
      <c r="DZ47" s="13">
        <f t="shared" si="27"/>
        <v>792815.97885770362</v>
      </c>
      <c r="EA47" s="14">
        <v>43052</v>
      </c>
      <c r="EC47" s="65"/>
      <c r="ED47" s="13"/>
      <c r="EE47" s="14"/>
      <c r="EG47" s="65"/>
      <c r="EH47" s="13"/>
      <c r="EI47" s="14"/>
      <c r="EK47" s="65"/>
      <c r="EL47" s="13"/>
      <c r="EM47" s="14"/>
      <c r="EO47" s="65">
        <f t="shared" si="114"/>
        <v>38</v>
      </c>
      <c r="EP47" s="13">
        <f t="shared" si="31"/>
        <v>1280841.7802395697</v>
      </c>
      <c r="EQ47" s="14">
        <v>43064</v>
      </c>
      <c r="ES47" s="65"/>
      <c r="ET47" s="13"/>
      <c r="EU47" s="14"/>
      <c r="EW47" s="65"/>
      <c r="EX47" s="13"/>
      <c r="EY47" s="14"/>
      <c r="FA47" s="65">
        <f t="shared" si="117"/>
        <v>37</v>
      </c>
      <c r="FB47" s="13">
        <f t="shared" si="34"/>
        <v>1260418.4430576875</v>
      </c>
      <c r="FC47" s="14">
        <v>43071</v>
      </c>
      <c r="FE47" s="65">
        <f t="shared" si="118"/>
        <v>32</v>
      </c>
      <c r="FF47" s="13">
        <f t="shared" si="35"/>
        <v>3155041.6568613756</v>
      </c>
      <c r="FG47" s="14">
        <v>43071</v>
      </c>
      <c r="FI47" s="65">
        <f t="shared" si="119"/>
        <v>29</v>
      </c>
      <c r="FJ47" s="13">
        <f t="shared" si="36"/>
        <v>1742496.6443893306</v>
      </c>
      <c r="FK47" s="14">
        <v>43073</v>
      </c>
      <c r="FM47" s="65"/>
      <c r="FN47" s="13"/>
      <c r="FO47" s="14"/>
      <c r="FQ47" s="65"/>
      <c r="FR47" s="13"/>
      <c r="FS47" s="14"/>
      <c r="FU47" s="65">
        <f t="shared" si="122"/>
        <v>4</v>
      </c>
      <c r="FV47" s="13">
        <f t="shared" si="39"/>
        <v>1906628.8160993585</v>
      </c>
      <c r="FW47" s="14">
        <v>43080</v>
      </c>
      <c r="FY47" s="65"/>
      <c r="FZ47" s="13"/>
      <c r="GA47" s="14"/>
      <c r="GC47" s="65"/>
      <c r="GD47" s="13"/>
      <c r="GE47" s="14"/>
      <c r="GG47" s="65"/>
      <c r="GH47" s="13"/>
      <c r="GI47" s="14"/>
      <c r="GK47" s="65"/>
      <c r="GL47" s="13"/>
      <c r="GM47" s="14"/>
      <c r="GO47" s="65"/>
      <c r="GP47" s="13"/>
      <c r="GQ47" s="14"/>
      <c r="GS47" s="65"/>
      <c r="GT47" s="13"/>
      <c r="GU47" s="14"/>
      <c r="GW47" s="65"/>
      <c r="GX47" s="13"/>
      <c r="GY47" s="14"/>
      <c r="HA47" s="65"/>
      <c r="HB47" s="13"/>
      <c r="HC47" s="14"/>
      <c r="HE47" s="65"/>
      <c r="HF47" s="13"/>
      <c r="HG47" s="14"/>
      <c r="HI47" s="65"/>
      <c r="HJ47" s="13"/>
      <c r="HK47" s="14"/>
      <c r="HM47" s="65"/>
      <c r="HN47" s="13"/>
      <c r="HO47" s="14"/>
      <c r="HQ47" s="65"/>
      <c r="HR47" s="13"/>
      <c r="HS47" s="14"/>
      <c r="HU47" s="65"/>
      <c r="HV47" s="13"/>
      <c r="HW47" s="14"/>
      <c r="HY47" s="65"/>
      <c r="HZ47" s="13"/>
      <c r="IA47" s="14"/>
      <c r="IC47" s="65"/>
      <c r="ID47" s="13"/>
      <c r="IE47" s="14"/>
      <c r="IG47" s="65"/>
      <c r="IH47" s="13"/>
      <c r="II47" s="14"/>
      <c r="IK47" s="65">
        <f t="shared" si="139"/>
        <v>2</v>
      </c>
      <c r="IL47" s="13">
        <f t="shared" si="56"/>
        <v>2586592.0449130279</v>
      </c>
      <c r="IM47" s="14">
        <v>43134</v>
      </c>
      <c r="IO47" s="65"/>
      <c r="IP47" s="13"/>
      <c r="IQ47" s="14"/>
      <c r="IS47" s="65"/>
      <c r="IT47" s="13"/>
      <c r="IU47" s="14"/>
      <c r="IW47" s="65"/>
      <c r="IX47" s="13"/>
      <c r="IY47" s="14"/>
      <c r="JA47" s="65">
        <f t="shared" si="143"/>
        <v>19</v>
      </c>
      <c r="JB47" s="13">
        <f t="shared" si="60"/>
        <v>987761.4392702214</v>
      </c>
      <c r="JC47" s="14">
        <v>43147</v>
      </c>
      <c r="JE47" s="65">
        <f t="shared" si="144"/>
        <v>2</v>
      </c>
      <c r="JF47" s="13">
        <f t="shared" si="61"/>
        <v>1483454.0805486527</v>
      </c>
      <c r="JG47" s="14">
        <v>43158</v>
      </c>
      <c r="JI47" s="65"/>
      <c r="JJ47" s="13"/>
      <c r="JK47" s="14"/>
      <c r="JM47" s="65"/>
      <c r="JN47" s="13"/>
      <c r="JO47" s="14"/>
      <c r="JQ47" s="65"/>
      <c r="JR47" s="13"/>
      <c r="JS47" s="14"/>
      <c r="JU47" s="65">
        <f t="shared" si="148"/>
        <v>24</v>
      </c>
      <c r="JV47" s="13">
        <f t="shared" si="65"/>
        <v>1653026.6676831087</v>
      </c>
      <c r="JW47" s="14">
        <v>43169</v>
      </c>
      <c r="JY47" s="65">
        <f t="shared" si="149"/>
        <v>2</v>
      </c>
      <c r="JZ47" s="13">
        <f t="shared" si="66"/>
        <v>1483454.0805486527</v>
      </c>
      <c r="KA47" s="14">
        <v>43158</v>
      </c>
      <c r="KC47" s="65"/>
      <c r="KD47" s="13"/>
      <c r="KE47" s="14"/>
      <c r="KG47" s="65"/>
      <c r="KH47" s="13"/>
      <c r="KI47" s="14"/>
      <c r="KK47" s="65"/>
      <c r="KL47" s="13"/>
      <c r="KM47" s="14"/>
      <c r="KO47" s="65"/>
      <c r="KP47" s="13"/>
      <c r="KQ47" s="14"/>
      <c r="KS47" s="65">
        <f t="shared" si="154"/>
        <v>12</v>
      </c>
      <c r="KT47" s="13">
        <f t="shared" si="71"/>
        <v>3309914.5942140874</v>
      </c>
      <c r="KU47" s="14">
        <v>43210</v>
      </c>
      <c r="KW47" s="65">
        <f t="shared" si="155"/>
        <v>3</v>
      </c>
      <c r="KX47" s="13">
        <f t="shared" si="72"/>
        <v>2990967.1346942298</v>
      </c>
      <c r="KY47" s="14">
        <v>43212</v>
      </c>
      <c r="LA47" s="65">
        <f t="shared" si="156"/>
        <v>40</v>
      </c>
      <c r="LB47" s="13">
        <f t="shared" si="73"/>
        <v>2634365.543312408</v>
      </c>
      <c r="LC47" s="14">
        <v>43224</v>
      </c>
      <c r="LE47" s="65"/>
      <c r="LF47" s="13"/>
      <c r="LG47" s="14"/>
      <c r="LI47" s="65">
        <f t="shared" si="158"/>
        <v>0</v>
      </c>
      <c r="LJ47" s="13">
        <f>($LK$2/(1+$LK$4*LI47/360))*0</f>
        <v>0</v>
      </c>
      <c r="LK47" s="14">
        <v>43231</v>
      </c>
      <c r="LM47" s="65">
        <f t="shared" si="159"/>
        <v>28</v>
      </c>
      <c r="LN47" s="13">
        <f t="shared" si="76"/>
        <v>744689.24337205081</v>
      </c>
      <c r="LO47" s="14">
        <v>43234</v>
      </c>
      <c r="LQ47" s="65"/>
      <c r="LR47" s="13"/>
      <c r="LS47" s="14"/>
      <c r="LU47" s="65"/>
      <c r="LV47" s="13"/>
      <c r="LW47" s="14"/>
      <c r="LY47" s="65">
        <f t="shared" si="162"/>
        <v>0</v>
      </c>
      <c r="LZ47" s="13">
        <f t="shared" si="79"/>
        <v>976991.84302395466</v>
      </c>
      <c r="MA47" s="14">
        <v>43259</v>
      </c>
      <c r="MC47" s="65"/>
      <c r="MD47" s="13"/>
      <c r="ME47" s="14"/>
      <c r="MG47" s="65"/>
      <c r="MH47" s="13"/>
      <c r="MI47" s="14"/>
      <c r="MK47" s="65"/>
      <c r="ML47" s="13"/>
      <c r="MM47" s="14"/>
      <c r="MO47" s="65"/>
      <c r="MP47" s="13"/>
      <c r="MQ47" s="14"/>
      <c r="MS47" s="65"/>
      <c r="MT47" s="13"/>
      <c r="MU47" s="14"/>
    </row>
    <row r="48" spans="1:359" x14ac:dyDescent="0.25">
      <c r="A48" s="15">
        <f t="shared" si="1"/>
        <v>732455.32705532026</v>
      </c>
      <c r="B48" s="20">
        <v>42742</v>
      </c>
      <c r="D48" s="12">
        <v>128</v>
      </c>
      <c r="E48" s="17">
        <v>1140679.6541269643</v>
      </c>
      <c r="F48" s="14">
        <v>42472</v>
      </c>
      <c r="I48" s="12"/>
      <c r="J48" s="13"/>
      <c r="K48" s="14"/>
      <c r="N48" s="12">
        <f t="shared" si="85"/>
        <v>58</v>
      </c>
      <c r="O48" s="13">
        <f t="shared" si="2"/>
        <v>732455.32705532026</v>
      </c>
      <c r="P48" s="14">
        <v>42742</v>
      </c>
      <c r="T48" s="15"/>
      <c r="U48" s="20"/>
      <c r="W48" s="12"/>
      <c r="X48" s="17"/>
      <c r="Y48" s="14"/>
      <c r="AB48" s="12"/>
      <c r="AC48" s="13"/>
      <c r="AD48" s="14"/>
      <c r="AG48" s="12"/>
      <c r="AH48" s="13"/>
      <c r="AI48" s="14"/>
      <c r="AK48" s="12">
        <f t="shared" si="87"/>
        <v>0</v>
      </c>
      <c r="AL48" s="13">
        <f>($AM$2/(1+$AM$4*AK48/360))*0</f>
        <v>0</v>
      </c>
      <c r="AM48" s="14">
        <v>42998</v>
      </c>
      <c r="BM48" s="65">
        <f t="shared" si="94"/>
        <v>12</v>
      </c>
      <c r="BN48" s="13">
        <f t="shared" si="11"/>
        <v>1866018.7801341494</v>
      </c>
      <c r="BO48" s="14">
        <v>43008</v>
      </c>
      <c r="BQ48" s="65">
        <f t="shared" si="95"/>
        <v>17</v>
      </c>
      <c r="BR48" s="13">
        <f t="shared" si="12"/>
        <v>4297696.3186717955</v>
      </c>
      <c r="BS48" s="14">
        <v>43015</v>
      </c>
      <c r="BU48" s="65"/>
      <c r="BV48" s="13"/>
      <c r="BW48" s="14">
        <v>43024</v>
      </c>
      <c r="BY48" s="65"/>
      <c r="BZ48" s="13"/>
      <c r="CA48" s="14">
        <v>43024</v>
      </c>
      <c r="CC48" s="65"/>
      <c r="CD48" s="13"/>
      <c r="CE48" s="14">
        <v>43025</v>
      </c>
      <c r="CG48" s="65">
        <f t="shared" si="170"/>
        <v>2</v>
      </c>
      <c r="CH48" s="13">
        <f t="shared" si="16"/>
        <v>974335.21681017196</v>
      </c>
      <c r="CI48" s="14">
        <v>43025</v>
      </c>
      <c r="CK48" s="65">
        <f t="shared" si="100"/>
        <v>26</v>
      </c>
      <c r="CL48" s="13">
        <f t="shared" si="17"/>
        <v>801494.71937399392</v>
      </c>
      <c r="CM48" s="14">
        <v>43029</v>
      </c>
      <c r="CO48" s="65"/>
      <c r="CP48" s="13"/>
      <c r="CQ48" s="14"/>
      <c r="CS48" s="65"/>
      <c r="CT48" s="13"/>
      <c r="CU48" s="14"/>
      <c r="CW48" s="65">
        <f t="shared" si="103"/>
        <v>8</v>
      </c>
      <c r="CX48" s="13">
        <f t="shared" si="20"/>
        <v>2549661.9921221435</v>
      </c>
      <c r="CY48" s="14">
        <v>43033</v>
      </c>
      <c r="DA48" s="65"/>
      <c r="DB48" s="13"/>
      <c r="DC48" s="14"/>
      <c r="DE48" s="65">
        <f t="shared" si="105"/>
        <v>7</v>
      </c>
      <c r="DF48" s="13">
        <f t="shared" si="22"/>
        <v>3202482.7568485853</v>
      </c>
      <c r="DG48" s="14">
        <v>43039</v>
      </c>
      <c r="DI48" s="65"/>
      <c r="DJ48" s="13"/>
      <c r="DK48" s="14"/>
      <c r="DM48" s="65"/>
      <c r="DN48" s="13"/>
      <c r="DO48" s="14"/>
      <c r="DQ48" s="65"/>
      <c r="DR48" s="13"/>
      <c r="DS48" s="14"/>
      <c r="DU48" s="65">
        <f t="shared" si="109"/>
        <v>52</v>
      </c>
      <c r="DV48" s="13">
        <f t="shared" si="26"/>
        <v>2332636.3433293384</v>
      </c>
      <c r="DW48" s="14">
        <v>43050</v>
      </c>
      <c r="DY48" s="65">
        <f t="shared" si="110"/>
        <v>63</v>
      </c>
      <c r="DZ48" s="13">
        <f t="shared" si="27"/>
        <v>792857.49277726118</v>
      </c>
      <c r="EA48" s="14">
        <v>43053</v>
      </c>
      <c r="EC48" s="65"/>
      <c r="ED48" s="13"/>
      <c r="EE48" s="14"/>
      <c r="EG48" s="65"/>
      <c r="EH48" s="13"/>
      <c r="EI48" s="14"/>
      <c r="EK48" s="65"/>
      <c r="EL48" s="13"/>
      <c r="EM48" s="14"/>
      <c r="EO48" s="65">
        <f t="shared" si="114"/>
        <v>37</v>
      </c>
      <c r="EP48" s="13">
        <f t="shared" si="31"/>
        <v>1280916.756157788</v>
      </c>
      <c r="EQ48" s="14">
        <v>43065</v>
      </c>
      <c r="ES48" s="65"/>
      <c r="ET48" s="13"/>
      <c r="EU48" s="14"/>
      <c r="EW48" s="65"/>
      <c r="EX48" s="13"/>
      <c r="EY48" s="14"/>
      <c r="FA48" s="65">
        <f t="shared" si="117"/>
        <v>36</v>
      </c>
      <c r="FB48" s="13">
        <f t="shared" si="34"/>
        <v>1260493.5785342178</v>
      </c>
      <c r="FC48" s="14">
        <v>43072</v>
      </c>
      <c r="FE48" s="65">
        <f t="shared" si="118"/>
        <v>31</v>
      </c>
      <c r="FF48" s="13">
        <f t="shared" si="35"/>
        <v>3155218.3633109331</v>
      </c>
      <c r="FG48" s="14">
        <v>43072</v>
      </c>
      <c r="FI48" s="65">
        <f t="shared" si="119"/>
        <v>28</v>
      </c>
      <c r="FJ48" s="13">
        <f t="shared" si="36"/>
        <v>1742603.0751796754</v>
      </c>
      <c r="FK48" s="14">
        <v>43074</v>
      </c>
      <c r="FM48" s="65"/>
      <c r="FN48" s="13"/>
      <c r="FO48" s="14"/>
      <c r="FQ48" s="65"/>
      <c r="FR48" s="13"/>
      <c r="FS48" s="14"/>
      <c r="FU48" s="65">
        <f t="shared" si="122"/>
        <v>3</v>
      </c>
      <c r="FV48" s="13">
        <f t="shared" si="39"/>
        <v>1906741.8871778713</v>
      </c>
      <c r="FW48" s="14">
        <v>43081</v>
      </c>
      <c r="FY48" s="65"/>
      <c r="FZ48" s="13"/>
      <c r="GA48" s="14"/>
      <c r="GC48" s="65"/>
      <c r="GD48" s="13"/>
      <c r="GE48" s="14"/>
      <c r="GG48" s="65"/>
      <c r="GH48" s="13"/>
      <c r="GI48" s="14"/>
      <c r="GK48" s="65"/>
      <c r="GL48" s="13"/>
      <c r="GM48" s="14"/>
      <c r="GO48" s="65"/>
      <c r="GP48" s="13"/>
      <c r="GQ48" s="14"/>
      <c r="GS48" s="65"/>
      <c r="GT48" s="13"/>
      <c r="GU48" s="14"/>
      <c r="GW48" s="65"/>
      <c r="GX48" s="13"/>
      <c r="GY48" s="14"/>
      <c r="HA48" s="65"/>
      <c r="HB48" s="13"/>
      <c r="HC48" s="14"/>
      <c r="HE48" s="65"/>
      <c r="HF48" s="13"/>
      <c r="HG48" s="14"/>
      <c r="HI48" s="65"/>
      <c r="HJ48" s="13"/>
      <c r="HK48" s="14"/>
      <c r="HM48" s="65"/>
      <c r="HN48" s="13"/>
      <c r="HO48" s="14"/>
      <c r="HQ48" s="65"/>
      <c r="HR48" s="13"/>
      <c r="HS48" s="14"/>
      <c r="HU48" s="65"/>
      <c r="HV48" s="13"/>
      <c r="HW48" s="14"/>
      <c r="HY48" s="65"/>
      <c r="HZ48" s="13"/>
      <c r="IA48" s="14"/>
      <c r="IC48" s="65"/>
      <c r="ID48" s="13"/>
      <c r="IE48" s="14"/>
      <c r="IG48" s="65"/>
      <c r="IH48" s="13"/>
      <c r="II48" s="14"/>
      <c r="IK48" s="65">
        <f t="shared" si="139"/>
        <v>1</v>
      </c>
      <c r="IL48" s="13">
        <f t="shared" si="56"/>
        <v>2586810.646410624</v>
      </c>
      <c r="IM48" s="14">
        <v>43135</v>
      </c>
      <c r="IO48" s="65"/>
      <c r="IP48" s="13"/>
      <c r="IQ48" s="14"/>
      <c r="IS48" s="65"/>
      <c r="IT48" s="13"/>
      <c r="IU48" s="14"/>
      <c r="IW48" s="65"/>
      <c r="IX48" s="13"/>
      <c r="IY48" s="14"/>
      <c r="JA48" s="65">
        <f t="shared" si="143"/>
        <v>18</v>
      </c>
      <c r="JB48" s="13">
        <f t="shared" si="60"/>
        <v>987814.00166458113</v>
      </c>
      <c r="JC48" s="14">
        <v>43148</v>
      </c>
      <c r="JE48" s="65">
        <f t="shared" si="144"/>
        <v>1</v>
      </c>
      <c r="JF48" s="13">
        <f t="shared" si="61"/>
        <v>1483530.1143320326</v>
      </c>
      <c r="JG48" s="14">
        <v>43159</v>
      </c>
      <c r="JI48" s="65"/>
      <c r="JJ48" s="13"/>
      <c r="JK48" s="14"/>
      <c r="JM48" s="65"/>
      <c r="JN48" s="13"/>
      <c r="JO48" s="14"/>
      <c r="JQ48" s="65"/>
      <c r="JR48" s="13"/>
      <c r="JS48" s="14"/>
      <c r="JU48" s="65">
        <f t="shared" si="148"/>
        <v>23</v>
      </c>
      <c r="JV48" s="13">
        <f t="shared" si="65"/>
        <v>1653129.2470020936</v>
      </c>
      <c r="JW48" s="14">
        <v>43170</v>
      </c>
      <c r="JY48" s="65">
        <f t="shared" si="149"/>
        <v>1</v>
      </c>
      <c r="JZ48" s="13">
        <f t="shared" si="66"/>
        <v>1483530.1143320326</v>
      </c>
      <c r="KA48" s="14">
        <v>43159</v>
      </c>
      <c r="KC48" s="65"/>
      <c r="KD48" s="13"/>
      <c r="KE48" s="14"/>
      <c r="KG48" s="65"/>
      <c r="KH48" s="13"/>
      <c r="KI48" s="14"/>
      <c r="KK48" s="65"/>
      <c r="KL48" s="13"/>
      <c r="KM48" s="14"/>
      <c r="KO48" s="65"/>
      <c r="KP48" s="13"/>
      <c r="KQ48" s="14"/>
      <c r="KS48" s="65">
        <f t="shared" si="154"/>
        <v>11</v>
      </c>
      <c r="KT48" s="13">
        <f t="shared" si="71"/>
        <v>3310126.9615444397</v>
      </c>
      <c r="KU48" s="14">
        <v>43211</v>
      </c>
      <c r="KW48" s="65">
        <f t="shared" si="155"/>
        <v>2</v>
      </c>
      <c r="KX48" s="13">
        <f t="shared" si="72"/>
        <v>2991152.7389958366</v>
      </c>
      <c r="KY48" s="14">
        <v>43213</v>
      </c>
      <c r="LA48" s="65">
        <f t="shared" si="156"/>
        <v>39</v>
      </c>
      <c r="LB48" s="13">
        <f t="shared" si="73"/>
        <v>2634566.9092532326</v>
      </c>
      <c r="LC48" s="14">
        <v>43225</v>
      </c>
      <c r="LE48" s="65"/>
      <c r="LF48" s="13"/>
      <c r="LG48" s="14"/>
      <c r="LI48" s="65"/>
      <c r="LJ48" s="13"/>
      <c r="LK48" s="14"/>
      <c r="LM48" s="65">
        <f t="shared" si="159"/>
        <v>27</v>
      </c>
      <c r="LN48" s="13">
        <f t="shared" si="76"/>
        <v>744742.45459901926</v>
      </c>
      <c r="LO48" s="14">
        <v>43235</v>
      </c>
      <c r="LQ48" s="65"/>
      <c r="LR48" s="13"/>
      <c r="LS48" s="14"/>
      <c r="LU48" s="65"/>
      <c r="LV48" s="13"/>
      <c r="LW48" s="14"/>
      <c r="LY48" s="65"/>
      <c r="LZ48" s="13"/>
      <c r="MA48" s="14"/>
      <c r="MC48" s="65"/>
      <c r="MD48" s="13"/>
      <c r="ME48" s="14"/>
      <c r="MG48" s="65"/>
      <c r="MH48" s="13"/>
      <c r="MI48" s="14"/>
      <c r="MK48" s="65"/>
      <c r="ML48" s="13"/>
      <c r="MM48" s="14"/>
      <c r="MO48" s="65"/>
      <c r="MP48" s="13"/>
      <c r="MQ48" s="14"/>
      <c r="MS48" s="65"/>
      <c r="MT48" s="13"/>
      <c r="MU48" s="14"/>
    </row>
    <row r="49" spans="1:359" x14ac:dyDescent="0.25">
      <c r="A49" s="15">
        <f t="shared" si="1"/>
        <v>732484.65931355988</v>
      </c>
      <c r="B49" s="20">
        <v>42743</v>
      </c>
      <c r="D49" s="12">
        <v>127</v>
      </c>
      <c r="E49" s="17">
        <v>1140706.7992284088</v>
      </c>
      <c r="F49" s="14">
        <v>42473</v>
      </c>
      <c r="I49" s="12"/>
      <c r="J49" s="13"/>
      <c r="K49" s="14"/>
      <c r="N49" s="12">
        <f t="shared" si="85"/>
        <v>57</v>
      </c>
      <c r="O49" s="13">
        <f t="shared" si="2"/>
        <v>732484.65931355988</v>
      </c>
      <c r="P49" s="14">
        <v>42743</v>
      </c>
      <c r="T49" s="15"/>
      <c r="U49" s="20"/>
      <c r="W49" s="12"/>
      <c r="X49" s="17"/>
      <c r="Y49" s="14"/>
      <c r="AB49" s="12"/>
      <c r="AC49" s="13"/>
      <c r="AD49" s="14"/>
      <c r="AG49" s="12"/>
      <c r="AH49" s="13"/>
      <c r="AI49" s="14"/>
      <c r="AK49" s="12"/>
      <c r="AL49" s="13"/>
      <c r="AM49" s="14"/>
      <c r="BM49" s="65">
        <f t="shared" si="94"/>
        <v>11</v>
      </c>
      <c r="BN49" s="13">
        <f t="shared" si="11"/>
        <v>1866118.0097636911</v>
      </c>
      <c r="BO49" s="14">
        <v>43009</v>
      </c>
      <c r="BQ49" s="65">
        <f t="shared" si="95"/>
        <v>16</v>
      </c>
      <c r="BR49" s="13">
        <f t="shared" si="12"/>
        <v>4297996.7278716397</v>
      </c>
      <c r="BS49" s="14">
        <v>43016</v>
      </c>
      <c r="BU49" s="65"/>
      <c r="BV49" s="13"/>
      <c r="BW49" s="14">
        <v>43025</v>
      </c>
      <c r="BY49" s="65"/>
      <c r="BZ49" s="13"/>
      <c r="CA49" s="14">
        <v>43025</v>
      </c>
      <c r="CC49" s="65"/>
      <c r="CD49" s="13"/>
      <c r="CE49" s="14">
        <v>43026</v>
      </c>
      <c r="CG49" s="65">
        <f t="shared" si="170"/>
        <v>1</v>
      </c>
      <c r="CH49" s="13">
        <f t="shared" si="16"/>
        <v>974378.3227786849</v>
      </c>
      <c r="CI49" s="14">
        <v>43026</v>
      </c>
      <c r="CK49" s="65">
        <f t="shared" si="100"/>
        <v>25</v>
      </c>
      <c r="CL49" s="13">
        <f t="shared" si="17"/>
        <v>801532.4954666103</v>
      </c>
      <c r="CM49" s="14">
        <v>43030</v>
      </c>
      <c r="CO49" s="65"/>
      <c r="CP49" s="13"/>
      <c r="CQ49" s="14"/>
      <c r="CS49" s="65"/>
      <c r="CT49" s="13"/>
      <c r="CU49" s="14"/>
      <c r="CW49" s="65">
        <f t="shared" si="103"/>
        <v>7</v>
      </c>
      <c r="CX49" s="13">
        <f t="shared" si="20"/>
        <v>2549775.8427299215</v>
      </c>
      <c r="CY49" s="14">
        <v>43034</v>
      </c>
      <c r="DA49" s="65"/>
      <c r="DB49" s="13"/>
      <c r="DC49" s="14"/>
      <c r="DE49" s="65">
        <f t="shared" si="105"/>
        <v>6</v>
      </c>
      <c r="DF49" s="13">
        <f t="shared" si="22"/>
        <v>3202640.6048651808</v>
      </c>
      <c r="DG49" s="14">
        <v>43040</v>
      </c>
      <c r="DI49" s="65"/>
      <c r="DJ49" s="13"/>
      <c r="DK49" s="14"/>
      <c r="DM49" s="65"/>
      <c r="DN49" s="13"/>
      <c r="DO49" s="14"/>
      <c r="DQ49" s="65"/>
      <c r="DR49" s="13"/>
      <c r="DS49" s="14"/>
      <c r="DU49" s="65">
        <f t="shared" si="109"/>
        <v>51</v>
      </c>
      <c r="DV49" s="13">
        <f t="shared" si="26"/>
        <v>2332751.3973630685</v>
      </c>
      <c r="DW49" s="14">
        <v>43051</v>
      </c>
      <c r="DY49" s="65">
        <f t="shared" si="110"/>
        <v>62</v>
      </c>
      <c r="DZ49" s="13">
        <f t="shared" si="27"/>
        <v>792899.01104460156</v>
      </c>
      <c r="EA49" s="14">
        <v>43054</v>
      </c>
      <c r="EC49" s="65"/>
      <c r="ED49" s="13"/>
      <c r="EE49" s="14"/>
      <c r="EG49" s="65"/>
      <c r="EH49" s="13"/>
      <c r="EI49" s="14"/>
      <c r="EK49" s="65"/>
      <c r="EL49" s="13"/>
      <c r="EM49" s="14"/>
      <c r="EO49" s="65">
        <f t="shared" si="114"/>
        <v>36</v>
      </c>
      <c r="EP49" s="13">
        <f t="shared" si="31"/>
        <v>1280991.7408541667</v>
      </c>
      <c r="EQ49" s="14">
        <v>43066</v>
      </c>
      <c r="ES49" s="65"/>
      <c r="ET49" s="13"/>
      <c r="EU49" s="14"/>
      <c r="EW49" s="65"/>
      <c r="EX49" s="13"/>
      <c r="EY49" s="14"/>
      <c r="FA49" s="65">
        <f t="shared" si="117"/>
        <v>35</v>
      </c>
      <c r="FB49" s="13">
        <f t="shared" si="34"/>
        <v>1260568.7229691644</v>
      </c>
      <c r="FC49" s="14">
        <v>43073</v>
      </c>
      <c r="FE49" s="65">
        <f t="shared" si="118"/>
        <v>30</v>
      </c>
      <c r="FF49" s="13">
        <f t="shared" si="35"/>
        <v>3155395.0895554237</v>
      </c>
      <c r="FG49" s="14">
        <v>43073</v>
      </c>
      <c r="FI49" s="65">
        <f t="shared" si="119"/>
        <v>27</v>
      </c>
      <c r="FJ49" s="13">
        <f t="shared" si="36"/>
        <v>1742709.5189722888</v>
      </c>
      <c r="FK49" s="14">
        <v>43075</v>
      </c>
      <c r="FM49" s="65"/>
      <c r="FN49" s="13"/>
      <c r="FO49" s="14"/>
      <c r="FQ49" s="65"/>
      <c r="FR49" s="13"/>
      <c r="FS49" s="14"/>
      <c r="FU49" s="65">
        <f t="shared" si="122"/>
        <v>2</v>
      </c>
      <c r="FV49" s="13">
        <f t="shared" si="39"/>
        <v>1906854.9716683573</v>
      </c>
      <c r="FW49" s="14">
        <v>43082</v>
      </c>
      <c r="FY49" s="65"/>
      <c r="FZ49" s="13"/>
      <c r="GA49" s="14"/>
      <c r="GC49" s="65"/>
      <c r="GD49" s="13"/>
      <c r="GE49" s="14"/>
      <c r="GG49" s="65"/>
      <c r="GH49" s="13"/>
      <c r="GI49" s="14"/>
      <c r="GK49" s="65"/>
      <c r="GL49" s="13"/>
      <c r="GM49" s="14"/>
      <c r="GO49" s="65"/>
      <c r="GP49" s="13"/>
      <c r="GQ49" s="14"/>
      <c r="GS49" s="65"/>
      <c r="GT49" s="13"/>
      <c r="GU49" s="14"/>
      <c r="GW49" s="65"/>
      <c r="GX49" s="13"/>
      <c r="GY49" s="14"/>
      <c r="HA49" s="65"/>
      <c r="HB49" s="13"/>
      <c r="HC49" s="14"/>
      <c r="HE49" s="65"/>
      <c r="HF49" s="13"/>
      <c r="HG49" s="14"/>
      <c r="HI49" s="65"/>
      <c r="HJ49" s="13"/>
      <c r="HK49" s="14"/>
      <c r="HM49" s="65"/>
      <c r="HN49" s="13"/>
      <c r="HO49" s="14"/>
      <c r="HQ49" s="65"/>
      <c r="HR49" s="13"/>
      <c r="HS49" s="14"/>
      <c r="HU49" s="65"/>
      <c r="HV49" s="13"/>
      <c r="HW49" s="14"/>
      <c r="HY49" s="65"/>
      <c r="HZ49" s="13"/>
      <c r="IA49" s="14"/>
      <c r="IC49" s="65"/>
      <c r="ID49" s="13"/>
      <c r="IE49" s="14"/>
      <c r="IG49" s="65"/>
      <c r="IH49" s="13"/>
      <c r="II49" s="14"/>
      <c r="IK49" s="65">
        <f t="shared" si="139"/>
        <v>0</v>
      </c>
      <c r="IL49" s="13">
        <f>($IM$2/(1+$IM$4*IK49/360))*0</f>
        <v>0</v>
      </c>
      <c r="IM49" s="14">
        <v>43136</v>
      </c>
      <c r="IO49" s="65"/>
      <c r="IP49" s="13"/>
      <c r="IQ49" s="14"/>
      <c r="IS49" s="65"/>
      <c r="IT49" s="13"/>
      <c r="IU49" s="14"/>
      <c r="IW49" s="65"/>
      <c r="IX49" s="13"/>
      <c r="IY49" s="14"/>
      <c r="JA49" s="65">
        <f t="shared" si="143"/>
        <v>17</v>
      </c>
      <c r="JB49" s="13">
        <f t="shared" si="60"/>
        <v>987866.56965331268</v>
      </c>
      <c r="JC49" s="14">
        <v>43149</v>
      </c>
      <c r="JE49" s="65">
        <f t="shared" si="144"/>
        <v>0</v>
      </c>
      <c r="JF49" s="13">
        <f>($JG$2/(1+$JG$4*JE49/360))*0</f>
        <v>0</v>
      </c>
      <c r="JG49" s="14">
        <v>43160</v>
      </c>
      <c r="JI49" s="65"/>
      <c r="JJ49" s="13"/>
      <c r="JK49" s="14"/>
      <c r="JM49" s="65"/>
      <c r="JN49" s="13"/>
      <c r="JO49" s="14"/>
      <c r="JQ49" s="65"/>
      <c r="JR49" s="13"/>
      <c r="JS49" s="14"/>
      <c r="JU49" s="65">
        <f t="shared" si="148"/>
        <v>22</v>
      </c>
      <c r="JV49" s="13">
        <f t="shared" si="65"/>
        <v>1653231.8390530809</v>
      </c>
      <c r="JW49" s="14">
        <v>43171</v>
      </c>
      <c r="JY49" s="65">
        <f t="shared" si="149"/>
        <v>0</v>
      </c>
      <c r="JZ49" s="13">
        <f>($JG$2/(1+$JG$4*JY49/360))*0</f>
        <v>0</v>
      </c>
      <c r="KA49" s="14">
        <v>43160</v>
      </c>
      <c r="KC49" s="65"/>
      <c r="KD49" s="13"/>
      <c r="KE49" s="14"/>
      <c r="KG49" s="65"/>
      <c r="KH49" s="13"/>
      <c r="KI49" s="14"/>
      <c r="KK49" s="65"/>
      <c r="KL49" s="13"/>
      <c r="KM49" s="14"/>
      <c r="KO49" s="65"/>
      <c r="KP49" s="13"/>
      <c r="KQ49" s="14"/>
      <c r="KS49" s="65">
        <f t="shared" si="154"/>
        <v>10</v>
      </c>
      <c r="KT49" s="13">
        <f t="shared" si="71"/>
        <v>3310339.3561279285</v>
      </c>
      <c r="KU49" s="14">
        <v>43212</v>
      </c>
      <c r="KW49" s="65">
        <f t="shared" si="155"/>
        <v>1</v>
      </c>
      <c r="KX49" s="13">
        <f t="shared" si="72"/>
        <v>2991338.3663342018</v>
      </c>
      <c r="KY49" s="14">
        <v>43214</v>
      </c>
      <c r="LA49" s="65">
        <f t="shared" si="156"/>
        <v>38</v>
      </c>
      <c r="LB49" s="13">
        <f t="shared" si="73"/>
        <v>2634768.305980477</v>
      </c>
      <c r="LC49" s="14">
        <v>43226</v>
      </c>
      <c r="LE49" s="65"/>
      <c r="LF49" s="13"/>
      <c r="LG49" s="14"/>
      <c r="LI49" s="65"/>
      <c r="LJ49" s="13"/>
      <c r="LK49" s="14"/>
      <c r="LM49" s="65">
        <f t="shared" si="159"/>
        <v>26</v>
      </c>
      <c r="LN49" s="13">
        <f t="shared" si="76"/>
        <v>744795.67343086982</v>
      </c>
      <c r="LO49" s="14">
        <v>43236</v>
      </c>
      <c r="LQ49" s="65"/>
      <c r="LR49" s="13"/>
      <c r="LS49" s="14"/>
      <c r="LU49" s="65"/>
      <c r="LV49" s="13"/>
      <c r="LW49" s="14"/>
      <c r="LY49" s="65"/>
      <c r="LZ49" s="13"/>
      <c r="MA49" s="14"/>
      <c r="MC49" s="65"/>
      <c r="MD49" s="13"/>
      <c r="ME49" s="14"/>
      <c r="MG49" s="65"/>
      <c r="MH49" s="13"/>
      <c r="MI49" s="14"/>
      <c r="MK49" s="65"/>
      <c r="ML49" s="13"/>
      <c r="MM49" s="14"/>
      <c r="MO49" s="65"/>
      <c r="MP49" s="13"/>
      <c r="MQ49" s="14"/>
      <c r="MS49" s="65"/>
      <c r="MT49" s="13"/>
      <c r="MU49" s="14"/>
    </row>
    <row r="50" spans="1:359" x14ac:dyDescent="0.25">
      <c r="A50" s="15">
        <f t="shared" si="1"/>
        <v>732513.99392120098</v>
      </c>
      <c r="B50" s="20">
        <v>42744</v>
      </c>
      <c r="D50" s="12">
        <v>126</v>
      </c>
      <c r="E50" s="17">
        <v>1140733.9456218451</v>
      </c>
      <c r="F50" s="14">
        <v>42474</v>
      </c>
      <c r="I50" s="12"/>
      <c r="J50" s="13"/>
      <c r="K50" s="14"/>
      <c r="N50" s="12">
        <f t="shared" si="85"/>
        <v>56</v>
      </c>
      <c r="O50" s="13">
        <f t="shared" si="2"/>
        <v>732513.99392120098</v>
      </c>
      <c r="P50" s="14">
        <v>42744</v>
      </c>
      <c r="T50" s="15"/>
      <c r="U50" s="20"/>
      <c r="W50" s="12"/>
      <c r="X50" s="17"/>
      <c r="Y50" s="14"/>
      <c r="AB50" s="12"/>
      <c r="AC50" s="13"/>
      <c r="AD50" s="14"/>
      <c r="AG50" s="12"/>
      <c r="AH50" s="13"/>
      <c r="AI50" s="14"/>
      <c r="AK50" s="12"/>
      <c r="AL50" s="13"/>
      <c r="AM50" s="14"/>
      <c r="BM50" s="65">
        <f t="shared" si="94"/>
        <v>10</v>
      </c>
      <c r="BN50" s="13">
        <f t="shared" si="11"/>
        <v>1866217.249947299</v>
      </c>
      <c r="BO50" s="14">
        <v>43010</v>
      </c>
      <c r="BQ50" s="65">
        <f t="shared" si="95"/>
        <v>15</v>
      </c>
      <c r="BR50" s="13">
        <f t="shared" si="12"/>
        <v>4298297.1790716564</v>
      </c>
      <c r="BS50" s="14">
        <v>43017</v>
      </c>
      <c r="BU50" s="65"/>
      <c r="BV50" s="13"/>
      <c r="BW50" s="14">
        <v>43026</v>
      </c>
      <c r="BY50" s="65"/>
      <c r="BZ50" s="13"/>
      <c r="CA50" s="14">
        <v>43026</v>
      </c>
      <c r="CC50" s="65"/>
      <c r="CD50" s="13"/>
      <c r="CE50" s="14">
        <v>43027</v>
      </c>
      <c r="CG50" s="65">
        <f t="shared" si="170"/>
        <v>0</v>
      </c>
      <c r="CH50" s="13">
        <f>($CI$2/(1+$CI$4*CG50/360))*0</f>
        <v>0</v>
      </c>
      <c r="CI50" s="14">
        <v>43027</v>
      </c>
      <c r="CK50" s="65">
        <f t="shared" si="100"/>
        <v>24</v>
      </c>
      <c r="CL50" s="13">
        <f t="shared" si="17"/>
        <v>801570.27512032399</v>
      </c>
      <c r="CM50" s="14">
        <v>43031</v>
      </c>
      <c r="CO50" s="65"/>
      <c r="CP50" s="13"/>
      <c r="CQ50" s="14"/>
      <c r="CS50" s="65"/>
      <c r="CT50" s="13"/>
      <c r="CU50" s="14"/>
      <c r="CW50" s="65">
        <f t="shared" si="103"/>
        <v>6</v>
      </c>
      <c r="CX50" s="13">
        <f t="shared" si="20"/>
        <v>2549889.7035057452</v>
      </c>
      <c r="CY50" s="14">
        <v>43035</v>
      </c>
      <c r="DA50" s="65"/>
      <c r="DB50" s="13"/>
      <c r="DC50" s="14"/>
      <c r="DE50" s="65">
        <f t="shared" si="105"/>
        <v>5</v>
      </c>
      <c r="DF50" s="13">
        <f t="shared" si="22"/>
        <v>3202798.4684429681</v>
      </c>
      <c r="DG50" s="14">
        <v>43041</v>
      </c>
      <c r="DI50" s="65"/>
      <c r="DJ50" s="13"/>
      <c r="DK50" s="14"/>
      <c r="DM50" s="65"/>
      <c r="DN50" s="13"/>
      <c r="DO50" s="14"/>
      <c r="DQ50" s="65"/>
      <c r="DR50" s="13"/>
      <c r="DS50" s="14"/>
      <c r="DU50" s="65">
        <f t="shared" si="109"/>
        <v>50</v>
      </c>
      <c r="DV50" s="13">
        <f t="shared" si="26"/>
        <v>2332866.462747118</v>
      </c>
      <c r="DW50" s="14">
        <v>43052</v>
      </c>
      <c r="DY50" s="65">
        <f t="shared" si="110"/>
        <v>61</v>
      </c>
      <c r="DZ50" s="13">
        <f t="shared" si="27"/>
        <v>792940.53366040764</v>
      </c>
      <c r="EA50" s="14">
        <v>43055</v>
      </c>
      <c r="EC50" s="65"/>
      <c r="ED50" s="13"/>
      <c r="EE50" s="14"/>
      <c r="EG50" s="65"/>
      <c r="EH50" s="13"/>
      <c r="EI50" s="14"/>
      <c r="EK50" s="65"/>
      <c r="EL50" s="13"/>
      <c r="EM50" s="14"/>
      <c r="EO50" s="65">
        <f t="shared" si="114"/>
        <v>35</v>
      </c>
      <c r="EP50" s="13">
        <f t="shared" si="31"/>
        <v>1281066.7343302474</v>
      </c>
      <c r="EQ50" s="14">
        <v>43067</v>
      </c>
      <c r="ES50" s="65"/>
      <c r="ET50" s="13"/>
      <c r="EU50" s="14"/>
      <c r="EW50" s="65"/>
      <c r="EX50" s="13"/>
      <c r="EY50" s="14"/>
      <c r="FA50" s="65">
        <f t="shared" si="117"/>
        <v>34</v>
      </c>
      <c r="FB50" s="13">
        <f t="shared" si="34"/>
        <v>1260643.8763641291</v>
      </c>
      <c r="FC50" s="14">
        <v>43074</v>
      </c>
      <c r="FE50" s="65">
        <f t="shared" si="118"/>
        <v>29</v>
      </c>
      <c r="FF50" s="13">
        <f t="shared" si="35"/>
        <v>3155571.8355981736</v>
      </c>
      <c r="FG50" s="14">
        <v>43074</v>
      </c>
      <c r="FI50" s="65">
        <f t="shared" si="119"/>
        <v>26</v>
      </c>
      <c r="FJ50" s="13">
        <f t="shared" si="36"/>
        <v>1742815.9757695543</v>
      </c>
      <c r="FK50" s="14">
        <v>43076</v>
      </c>
      <c r="FM50" s="65"/>
      <c r="FN50" s="13"/>
      <c r="FO50" s="14"/>
      <c r="FQ50" s="65"/>
      <c r="FR50" s="13"/>
      <c r="FS50" s="14"/>
      <c r="FU50" s="65">
        <f t="shared" si="122"/>
        <v>1</v>
      </c>
      <c r="FV50" s="13">
        <f t="shared" si="39"/>
        <v>1906968.0695732022</v>
      </c>
      <c r="FW50" s="14">
        <v>43083</v>
      </c>
      <c r="FY50" s="65"/>
      <c r="FZ50" s="13"/>
      <c r="GA50" s="14"/>
      <c r="GC50" s="65"/>
      <c r="GD50" s="13"/>
      <c r="GE50" s="14"/>
      <c r="GG50" s="65"/>
      <c r="GH50" s="13"/>
      <c r="GI50" s="14"/>
      <c r="GK50" s="65"/>
      <c r="GL50" s="13"/>
      <c r="GM50" s="14"/>
      <c r="GO50" s="65"/>
      <c r="GP50" s="13"/>
      <c r="GQ50" s="14"/>
      <c r="GS50" s="65"/>
      <c r="GT50" s="13"/>
      <c r="GU50" s="14"/>
      <c r="GW50" s="65"/>
      <c r="GX50" s="13"/>
      <c r="GY50" s="14"/>
      <c r="HA50" s="65"/>
      <c r="HB50" s="13"/>
      <c r="HC50" s="14"/>
      <c r="HE50" s="65"/>
      <c r="HF50" s="13"/>
      <c r="HG50" s="14"/>
      <c r="HI50" s="65"/>
      <c r="HJ50" s="13"/>
      <c r="HK50" s="14"/>
      <c r="HM50" s="65"/>
      <c r="HN50" s="13"/>
      <c r="HO50" s="14"/>
      <c r="HQ50" s="65"/>
      <c r="HR50" s="13"/>
      <c r="HS50" s="14"/>
      <c r="HU50" s="65"/>
      <c r="HV50" s="13"/>
      <c r="HW50" s="14"/>
      <c r="HY50" s="65"/>
      <c r="HZ50" s="13"/>
      <c r="IA50" s="14"/>
      <c r="IC50" s="65"/>
      <c r="ID50" s="13"/>
      <c r="IE50" s="14"/>
      <c r="IG50" s="65"/>
      <c r="IH50" s="13"/>
      <c r="II50" s="14"/>
      <c r="IK50" s="65"/>
      <c r="IL50" s="13"/>
      <c r="IM50" s="14"/>
      <c r="IO50" s="65"/>
      <c r="IP50" s="13"/>
      <c r="IQ50" s="14"/>
      <c r="IS50" s="65"/>
      <c r="IT50" s="13"/>
      <c r="IU50" s="14"/>
      <c r="IW50" s="65"/>
      <c r="IX50" s="13"/>
      <c r="IY50" s="14"/>
      <c r="JA50" s="65">
        <f t="shared" si="143"/>
        <v>16</v>
      </c>
      <c r="JB50" s="13">
        <f t="shared" si="60"/>
        <v>987919.14323730906</v>
      </c>
      <c r="JC50" s="14">
        <v>43150</v>
      </c>
      <c r="JE50" s="65"/>
      <c r="JF50" s="13"/>
      <c r="JG50" s="14"/>
      <c r="JI50" s="65"/>
      <c r="JJ50" s="13"/>
      <c r="JK50" s="14"/>
      <c r="JM50" s="65"/>
      <c r="JN50" s="13"/>
      <c r="JO50" s="14"/>
      <c r="JQ50" s="65"/>
      <c r="JR50" s="13"/>
      <c r="JS50" s="14"/>
      <c r="JU50" s="65">
        <f t="shared" si="148"/>
        <v>21</v>
      </c>
      <c r="JV50" s="13">
        <f t="shared" si="65"/>
        <v>1653334.4438384415</v>
      </c>
      <c r="JW50" s="14">
        <v>43172</v>
      </c>
      <c r="JY50" s="65"/>
      <c r="JZ50" s="13"/>
      <c r="KA50" s="14"/>
      <c r="KC50" s="65"/>
      <c r="KD50" s="13"/>
      <c r="KE50" s="14"/>
      <c r="KG50" s="65"/>
      <c r="KH50" s="13"/>
      <c r="KI50" s="14"/>
      <c r="KK50" s="65"/>
      <c r="KL50" s="13"/>
      <c r="KM50" s="14"/>
      <c r="KO50" s="65"/>
      <c r="KP50" s="13"/>
      <c r="KQ50" s="14"/>
      <c r="KS50" s="65">
        <f t="shared" si="154"/>
        <v>9</v>
      </c>
      <c r="KT50" s="13">
        <f t="shared" si="71"/>
        <v>3310551.7779697995</v>
      </c>
      <c r="KU50" s="14">
        <v>43213</v>
      </c>
      <c r="KW50" s="65">
        <f t="shared" si="155"/>
        <v>0</v>
      </c>
      <c r="KX50" s="13">
        <f>($KY$2/(1+$KY$4*KW50/360))*0</f>
        <v>0</v>
      </c>
      <c r="KY50" s="14">
        <v>43215</v>
      </c>
      <c r="LA50" s="65">
        <f t="shared" si="156"/>
        <v>37</v>
      </c>
      <c r="LB50" s="13">
        <f t="shared" si="73"/>
        <v>2634969.7335012015</v>
      </c>
      <c r="LC50" s="14">
        <v>43227</v>
      </c>
      <c r="LE50" s="65"/>
      <c r="LF50" s="13"/>
      <c r="LG50" s="14"/>
      <c r="LI50" s="65"/>
      <c r="LJ50" s="13"/>
      <c r="LK50" s="14"/>
      <c r="LM50" s="65">
        <f t="shared" si="159"/>
        <v>25</v>
      </c>
      <c r="LN50" s="13">
        <f t="shared" si="76"/>
        <v>744848.89986923325</v>
      </c>
      <c r="LO50" s="14">
        <v>43237</v>
      </c>
      <c r="LQ50" s="65"/>
      <c r="LR50" s="13"/>
      <c r="LS50" s="14"/>
      <c r="LU50" s="65"/>
      <c r="LV50" s="13"/>
      <c r="LW50" s="14"/>
      <c r="LY50" s="65"/>
      <c r="LZ50" s="13"/>
      <c r="MA50" s="14"/>
      <c r="MC50" s="65"/>
      <c r="MD50" s="13"/>
      <c r="ME50" s="14"/>
      <c r="MG50" s="65"/>
      <c r="MH50" s="13"/>
      <c r="MI50" s="14"/>
      <c r="MK50" s="65"/>
      <c r="ML50" s="13"/>
      <c r="MM50" s="14"/>
      <c r="MO50" s="65"/>
      <c r="MP50" s="13"/>
      <c r="MQ50" s="14"/>
      <c r="MS50" s="65"/>
      <c r="MT50" s="13"/>
      <c r="MU50" s="14"/>
    </row>
    <row r="51" spans="1:359" x14ac:dyDescent="0.25">
      <c r="A51" s="15">
        <f t="shared" si="1"/>
        <v>732543.33087852597</v>
      </c>
      <c r="B51" s="20">
        <v>42745</v>
      </c>
      <c r="D51" s="12">
        <v>125</v>
      </c>
      <c r="E51" s="17">
        <v>1140761.0933073645</v>
      </c>
      <c r="F51" s="14">
        <v>42475</v>
      </c>
      <c r="I51" s="12"/>
      <c r="J51" s="13"/>
      <c r="K51" s="14"/>
      <c r="N51" s="12">
        <f t="shared" si="85"/>
        <v>55</v>
      </c>
      <c r="O51" s="13">
        <f t="shared" si="2"/>
        <v>732543.33087852597</v>
      </c>
      <c r="P51" s="14">
        <v>42745</v>
      </c>
      <c r="T51" s="15"/>
      <c r="U51" s="20"/>
      <c r="W51" s="12"/>
      <c r="X51" s="17"/>
      <c r="Y51" s="14"/>
      <c r="AB51" s="12"/>
      <c r="AC51" s="13"/>
      <c r="AD51" s="14"/>
      <c r="AG51" s="12"/>
      <c r="AH51" s="13"/>
      <c r="AI51" s="14"/>
      <c r="AK51" s="12"/>
      <c r="AL51" s="13"/>
      <c r="AM51" s="14"/>
      <c r="BM51" s="65">
        <f t="shared" si="94"/>
        <v>9</v>
      </c>
      <c r="BN51" s="13">
        <f t="shared" si="11"/>
        <v>1866316.5006866571</v>
      </c>
      <c r="BO51" s="14">
        <v>43011</v>
      </c>
      <c r="BQ51" s="65">
        <f t="shared" si="95"/>
        <v>14</v>
      </c>
      <c r="BR51" s="13">
        <f t="shared" si="12"/>
        <v>4298597.6722806562</v>
      </c>
      <c r="BS51" s="14">
        <v>43018</v>
      </c>
      <c r="BU51" s="65"/>
      <c r="BV51" s="13"/>
      <c r="BW51" s="14">
        <v>43027</v>
      </c>
      <c r="BY51" s="65"/>
      <c r="BZ51" s="13"/>
      <c r="CA51" s="14">
        <v>43027</v>
      </c>
      <c r="CC51" s="65"/>
      <c r="CD51" s="13"/>
      <c r="CE51" s="14">
        <v>43028</v>
      </c>
      <c r="CG51" s="65"/>
      <c r="CH51" s="13"/>
      <c r="CI51" s="14"/>
      <c r="CK51" s="65">
        <f t="shared" si="100"/>
        <v>23</v>
      </c>
      <c r="CL51" s="13">
        <f t="shared" si="17"/>
        <v>801608.05833563895</v>
      </c>
      <c r="CM51" s="14">
        <v>43032</v>
      </c>
      <c r="CO51" s="65"/>
      <c r="CP51" s="13"/>
      <c r="CQ51" s="14"/>
      <c r="CS51" s="65"/>
      <c r="CT51" s="13"/>
      <c r="CU51" s="14"/>
      <c r="CW51" s="65">
        <f t="shared" si="103"/>
        <v>5</v>
      </c>
      <c r="CX51" s="13">
        <f t="shared" si="20"/>
        <v>2550003.5744509767</v>
      </c>
      <c r="CY51" s="14">
        <v>43036</v>
      </c>
      <c r="DA51" s="65"/>
      <c r="DB51" s="13"/>
      <c r="DC51" s="14"/>
      <c r="DE51" s="65">
        <f t="shared" si="105"/>
        <v>4</v>
      </c>
      <c r="DF51" s="13">
        <f t="shared" si="22"/>
        <v>3202956.3475842485</v>
      </c>
      <c r="DG51" s="14">
        <v>43042</v>
      </c>
      <c r="DI51" s="65"/>
      <c r="DJ51" s="13"/>
      <c r="DK51" s="14"/>
      <c r="DM51" s="65"/>
      <c r="DN51" s="13"/>
      <c r="DO51" s="14"/>
      <c r="DQ51" s="65"/>
      <c r="DR51" s="13"/>
      <c r="DS51" s="14"/>
      <c r="DU51" s="65">
        <f t="shared" si="109"/>
        <v>49</v>
      </c>
      <c r="DV51" s="13">
        <f t="shared" si="26"/>
        <v>2332981.5394831668</v>
      </c>
      <c r="DW51" s="14">
        <v>43053</v>
      </c>
      <c r="DY51" s="65">
        <f t="shared" si="110"/>
        <v>60</v>
      </c>
      <c r="DZ51" s="13">
        <f t="shared" si="27"/>
        <v>792982.06062536244</v>
      </c>
      <c r="EA51" s="14">
        <v>43056</v>
      </c>
      <c r="EC51" s="65"/>
      <c r="ED51" s="13"/>
      <c r="EE51" s="14"/>
      <c r="EG51" s="65"/>
      <c r="EH51" s="13"/>
      <c r="EI51" s="14"/>
      <c r="EK51" s="65"/>
      <c r="EL51" s="13"/>
      <c r="EM51" s="14"/>
      <c r="EO51" s="65">
        <f t="shared" si="114"/>
        <v>34</v>
      </c>
      <c r="EP51" s="13">
        <f t="shared" si="31"/>
        <v>1281141.7365875724</v>
      </c>
      <c r="EQ51" s="14">
        <v>43068</v>
      </c>
      <c r="ES51" s="65"/>
      <c r="ET51" s="13"/>
      <c r="EU51" s="14"/>
      <c r="EW51" s="65"/>
      <c r="EX51" s="13"/>
      <c r="EY51" s="14"/>
      <c r="FA51" s="65">
        <f t="shared" si="117"/>
        <v>33</v>
      </c>
      <c r="FB51" s="13">
        <f t="shared" si="34"/>
        <v>1260719.0387207146</v>
      </c>
      <c r="FC51" s="14">
        <v>43075</v>
      </c>
      <c r="FE51" s="65">
        <f t="shared" si="118"/>
        <v>28</v>
      </c>
      <c r="FF51" s="13">
        <f t="shared" si="35"/>
        <v>3155748.6014425084</v>
      </c>
      <c r="FG51" s="14">
        <v>43075</v>
      </c>
      <c r="FI51" s="65">
        <f t="shared" si="119"/>
        <v>25</v>
      </c>
      <c r="FJ51" s="13">
        <f t="shared" si="36"/>
        <v>1742922.4455738547</v>
      </c>
      <c r="FK51" s="14">
        <v>43077</v>
      </c>
      <c r="FM51" s="65"/>
      <c r="FN51" s="13"/>
      <c r="FO51" s="14"/>
      <c r="FQ51" s="65"/>
      <c r="FR51" s="13"/>
      <c r="FS51" s="14"/>
      <c r="FU51" s="65">
        <f t="shared" si="122"/>
        <v>0</v>
      </c>
      <c r="FV51" s="13">
        <f>($FW$2/(1+$FW$4*FU51/360))*0</f>
        <v>0</v>
      </c>
      <c r="FW51" s="14">
        <v>43084</v>
      </c>
      <c r="FY51" s="65"/>
      <c r="FZ51" s="13"/>
      <c r="GA51" s="14"/>
      <c r="GC51" s="65"/>
      <c r="GD51" s="13"/>
      <c r="GE51" s="14"/>
      <c r="GG51" s="65"/>
      <c r="GH51" s="13"/>
      <c r="GI51" s="14"/>
      <c r="GK51" s="65"/>
      <c r="GL51" s="13"/>
      <c r="GM51" s="14"/>
      <c r="GO51" s="65"/>
      <c r="GP51" s="13"/>
      <c r="GQ51" s="14"/>
      <c r="GS51" s="65"/>
      <c r="GT51" s="13"/>
      <c r="GU51" s="14"/>
      <c r="GW51" s="65"/>
      <c r="GX51" s="13"/>
      <c r="GY51" s="14"/>
      <c r="HA51" s="65"/>
      <c r="HB51" s="13"/>
      <c r="HC51" s="14"/>
      <c r="HE51" s="65"/>
      <c r="HF51" s="13"/>
      <c r="HG51" s="14"/>
      <c r="HI51" s="65"/>
      <c r="HJ51" s="13"/>
      <c r="HK51" s="14"/>
      <c r="HM51" s="65"/>
      <c r="HN51" s="13"/>
      <c r="HO51" s="14"/>
      <c r="HQ51" s="65"/>
      <c r="HR51" s="13"/>
      <c r="HS51" s="14"/>
      <c r="HU51" s="65"/>
      <c r="HV51" s="13"/>
      <c r="HW51" s="14"/>
      <c r="HY51" s="65"/>
      <c r="HZ51" s="13"/>
      <c r="IA51" s="14"/>
      <c r="IC51" s="65"/>
      <c r="ID51" s="13"/>
      <c r="IE51" s="14"/>
      <c r="IG51" s="65"/>
      <c r="IH51" s="13"/>
      <c r="II51" s="14"/>
      <c r="IK51" s="65"/>
      <c r="IL51" s="13"/>
      <c r="IM51" s="14"/>
      <c r="IO51" s="65"/>
      <c r="IP51" s="13"/>
      <c r="IQ51" s="14"/>
      <c r="IS51" s="65"/>
      <c r="IT51" s="13"/>
      <c r="IU51" s="14"/>
      <c r="IW51" s="65"/>
      <c r="IX51" s="13"/>
      <c r="IY51" s="14"/>
      <c r="JA51" s="65">
        <f t="shared" si="143"/>
        <v>15</v>
      </c>
      <c r="JB51" s="13">
        <f t="shared" si="60"/>
        <v>987971.72241746366</v>
      </c>
      <c r="JC51" s="14">
        <v>43151</v>
      </c>
      <c r="JE51" s="65"/>
      <c r="JF51" s="13"/>
      <c r="JG51" s="14"/>
      <c r="JI51" s="65"/>
      <c r="JJ51" s="13"/>
      <c r="JK51" s="14"/>
      <c r="JM51" s="65"/>
      <c r="JN51" s="13"/>
      <c r="JO51" s="14"/>
      <c r="JQ51" s="65"/>
      <c r="JR51" s="13"/>
      <c r="JS51" s="14"/>
      <c r="JU51" s="65">
        <f t="shared" si="148"/>
        <v>20</v>
      </c>
      <c r="JV51" s="13">
        <f t="shared" si="65"/>
        <v>1653437.0613605457</v>
      </c>
      <c r="JW51" s="14">
        <v>43173</v>
      </c>
      <c r="JY51" s="65"/>
      <c r="JZ51" s="13"/>
      <c r="KA51" s="14"/>
      <c r="KC51" s="65"/>
      <c r="KD51" s="13"/>
      <c r="KE51" s="14"/>
      <c r="KG51" s="65"/>
      <c r="KH51" s="13"/>
      <c r="KI51" s="14"/>
      <c r="KK51" s="65"/>
      <c r="KL51" s="13"/>
      <c r="KM51" s="14"/>
      <c r="KO51" s="65"/>
      <c r="KP51" s="13"/>
      <c r="KQ51" s="14"/>
      <c r="KS51" s="65">
        <f t="shared" si="154"/>
        <v>8</v>
      </c>
      <c r="KT51" s="13">
        <f t="shared" si="71"/>
        <v>3310764.2270753016</v>
      </c>
      <c r="KU51" s="14">
        <v>43214</v>
      </c>
      <c r="KW51" s="65"/>
      <c r="KX51" s="13"/>
      <c r="KY51" s="14"/>
      <c r="LA51" s="65">
        <f t="shared" si="156"/>
        <v>36</v>
      </c>
      <c r="LB51" s="13">
        <f t="shared" si="73"/>
        <v>2635171.1918224697</v>
      </c>
      <c r="LC51" s="14">
        <v>43228</v>
      </c>
      <c r="LE51" s="65"/>
      <c r="LF51" s="13"/>
      <c r="LG51" s="14"/>
      <c r="LI51" s="65"/>
      <c r="LJ51" s="13"/>
      <c r="LK51" s="14"/>
      <c r="LM51" s="65">
        <f t="shared" si="159"/>
        <v>24</v>
      </c>
      <c r="LN51" s="13">
        <f t="shared" si="76"/>
        <v>744902.13391574018</v>
      </c>
      <c r="LO51" s="14">
        <v>43238</v>
      </c>
      <c r="LQ51" s="65"/>
      <c r="LR51" s="13"/>
      <c r="LS51" s="14"/>
      <c r="LU51" s="65"/>
      <c r="LV51" s="13"/>
      <c r="LW51" s="14"/>
      <c r="LY51" s="65"/>
      <c r="LZ51" s="13"/>
      <c r="MA51" s="14"/>
      <c r="MC51" s="65"/>
      <c r="MD51" s="13"/>
      <c r="ME51" s="14"/>
      <c r="MG51" s="65"/>
      <c r="MH51" s="13"/>
      <c r="MI51" s="14"/>
      <c r="MK51" s="65"/>
      <c r="ML51" s="13"/>
      <c r="MM51" s="14"/>
      <c r="MO51" s="65"/>
      <c r="MP51" s="13"/>
      <c r="MQ51" s="14"/>
      <c r="MS51" s="65"/>
      <c r="MT51" s="13"/>
      <c r="MU51" s="14"/>
    </row>
    <row r="52" spans="1:359" x14ac:dyDescent="0.25">
      <c r="A52" s="15">
        <f t="shared" si="1"/>
        <v>732572.67018581706</v>
      </c>
      <c r="B52" s="20">
        <v>42746</v>
      </c>
      <c r="D52" s="12">
        <v>124</v>
      </c>
      <c r="E52" s="17">
        <v>1140788.2422850598</v>
      </c>
      <c r="F52" s="14">
        <v>42476</v>
      </c>
      <c r="I52" s="12"/>
      <c r="J52" s="13"/>
      <c r="K52" s="14"/>
      <c r="N52" s="12">
        <f t="shared" si="85"/>
        <v>54</v>
      </c>
      <c r="O52" s="13">
        <f t="shared" si="2"/>
        <v>732572.67018581706</v>
      </c>
      <c r="P52" s="14">
        <v>42746</v>
      </c>
      <c r="T52" s="15"/>
      <c r="U52" s="20"/>
      <c r="W52" s="12"/>
      <c r="X52" s="17"/>
      <c r="Y52" s="14"/>
      <c r="AB52" s="12"/>
      <c r="AC52" s="13"/>
      <c r="AD52" s="14"/>
      <c r="AG52" s="12"/>
      <c r="AH52" s="13"/>
      <c r="AI52" s="14"/>
      <c r="AK52" s="12"/>
      <c r="AL52" s="13"/>
      <c r="AM52" s="14"/>
      <c r="BM52" s="65">
        <f t="shared" si="94"/>
        <v>8</v>
      </c>
      <c r="BN52" s="13">
        <f t="shared" si="11"/>
        <v>1866415.7619834498</v>
      </c>
      <c r="BO52" s="14">
        <v>43012</v>
      </c>
      <c r="BQ52" s="65">
        <f t="shared" si="95"/>
        <v>13</v>
      </c>
      <c r="BR52" s="13">
        <f t="shared" si="12"/>
        <v>4298898.2075074483</v>
      </c>
      <c r="BS52" s="14">
        <v>43019</v>
      </c>
      <c r="BU52" s="65"/>
      <c r="BV52" s="13"/>
      <c r="BW52" s="14">
        <v>43028</v>
      </c>
      <c r="BY52" s="65"/>
      <c r="BZ52" s="13"/>
      <c r="CA52" s="14">
        <v>43028</v>
      </c>
      <c r="CC52" s="65"/>
      <c r="CD52" s="13"/>
      <c r="CE52" s="14">
        <v>43029</v>
      </c>
      <c r="CG52" s="65"/>
      <c r="CH52" s="13"/>
      <c r="CI52" s="14"/>
      <c r="CK52" s="65">
        <f t="shared" si="100"/>
        <v>22</v>
      </c>
      <c r="CL52" s="13">
        <f t="shared" si="17"/>
        <v>801645.84511305857</v>
      </c>
      <c r="CM52" s="14">
        <v>43033</v>
      </c>
      <c r="CO52" s="65"/>
      <c r="CP52" s="13"/>
      <c r="CQ52" s="14"/>
      <c r="CS52" s="65"/>
      <c r="CT52" s="13"/>
      <c r="CU52" s="14"/>
      <c r="CW52" s="65">
        <f t="shared" si="103"/>
        <v>4</v>
      </c>
      <c r="CX52" s="13">
        <f t="shared" si="20"/>
        <v>2550117.4555669781</v>
      </c>
      <c r="CY52" s="14">
        <v>43037</v>
      </c>
      <c r="DA52" s="65"/>
      <c r="DB52" s="13"/>
      <c r="DC52" s="14"/>
      <c r="DE52" s="65">
        <f t="shared" si="105"/>
        <v>3</v>
      </c>
      <c r="DF52" s="13">
        <f t="shared" si="22"/>
        <v>3203114.2422913238</v>
      </c>
      <c r="DG52" s="14">
        <v>43043</v>
      </c>
      <c r="DI52" s="65"/>
      <c r="DJ52" s="13"/>
      <c r="DK52" s="14"/>
      <c r="DM52" s="65"/>
      <c r="DN52" s="13"/>
      <c r="DO52" s="14"/>
      <c r="DQ52" s="65"/>
      <c r="DR52" s="13"/>
      <c r="DS52" s="14"/>
      <c r="DU52" s="65">
        <f t="shared" si="109"/>
        <v>48</v>
      </c>
      <c r="DV52" s="13">
        <f t="shared" si="26"/>
        <v>2333096.6275728941</v>
      </c>
      <c r="DW52" s="14">
        <v>43054</v>
      </c>
      <c r="DY52" s="65">
        <f t="shared" si="110"/>
        <v>59</v>
      </c>
      <c r="DZ52" s="13">
        <f t="shared" si="27"/>
        <v>793023.59194014955</v>
      </c>
      <c r="EA52" s="14">
        <v>43057</v>
      </c>
      <c r="EC52" s="65"/>
      <c r="ED52" s="13"/>
      <c r="EE52" s="14"/>
      <c r="EG52" s="65"/>
      <c r="EH52" s="13"/>
      <c r="EI52" s="14"/>
      <c r="EK52" s="65"/>
      <c r="EL52" s="13"/>
      <c r="EM52" s="14"/>
      <c r="EO52" s="65">
        <f t="shared" si="114"/>
        <v>33</v>
      </c>
      <c r="EP52" s="13">
        <f t="shared" si="31"/>
        <v>1281216.7476276846</v>
      </c>
      <c r="EQ52" s="14">
        <v>43069</v>
      </c>
      <c r="ES52" s="65"/>
      <c r="ET52" s="13"/>
      <c r="EU52" s="14"/>
      <c r="EW52" s="65"/>
      <c r="EX52" s="13"/>
      <c r="EY52" s="14"/>
      <c r="FA52" s="65">
        <f t="shared" si="117"/>
        <v>32</v>
      </c>
      <c r="FB52" s="13">
        <f t="shared" si="34"/>
        <v>1260794.2100405241</v>
      </c>
      <c r="FC52" s="14">
        <v>43076</v>
      </c>
      <c r="FE52" s="65">
        <f t="shared" si="118"/>
        <v>27</v>
      </c>
      <c r="FF52" s="13">
        <f t="shared" si="35"/>
        <v>3155925.3870917577</v>
      </c>
      <c r="FG52" s="14">
        <v>43076</v>
      </c>
      <c r="FI52" s="65">
        <f t="shared" si="119"/>
        <v>24</v>
      </c>
      <c r="FJ52" s="13">
        <f t="shared" si="36"/>
        <v>1743028.9283875746</v>
      </c>
      <c r="FK52" s="14">
        <v>43078</v>
      </c>
      <c r="FM52" s="65"/>
      <c r="FN52" s="13"/>
      <c r="FO52" s="14"/>
      <c r="FQ52" s="65"/>
      <c r="FR52" s="13"/>
      <c r="FS52" s="14"/>
      <c r="FU52" s="65"/>
      <c r="FV52" s="13"/>
      <c r="FW52" s="14"/>
      <c r="FY52" s="65"/>
      <c r="FZ52" s="13"/>
      <c r="GA52" s="14"/>
      <c r="GC52" s="65"/>
      <c r="GD52" s="13"/>
      <c r="GE52" s="14"/>
      <c r="GG52" s="65"/>
      <c r="GH52" s="13"/>
      <c r="GI52" s="14"/>
      <c r="GK52" s="65"/>
      <c r="GL52" s="13"/>
      <c r="GM52" s="14"/>
      <c r="GO52" s="65"/>
      <c r="GP52" s="13"/>
      <c r="GQ52" s="14"/>
      <c r="GS52" s="65"/>
      <c r="GT52" s="13"/>
      <c r="GU52" s="14"/>
      <c r="GW52" s="65"/>
      <c r="GX52" s="13"/>
      <c r="GY52" s="14"/>
      <c r="HA52" s="65"/>
      <c r="HB52" s="13"/>
      <c r="HC52" s="14"/>
      <c r="HE52" s="65"/>
      <c r="HF52" s="13"/>
      <c r="HG52" s="14"/>
      <c r="HI52" s="65"/>
      <c r="HJ52" s="13"/>
      <c r="HK52" s="14"/>
      <c r="HM52" s="65"/>
      <c r="HN52" s="13"/>
      <c r="HO52" s="14"/>
      <c r="HQ52" s="65"/>
      <c r="HR52" s="13"/>
      <c r="HS52" s="14"/>
      <c r="HU52" s="65"/>
      <c r="HV52" s="13"/>
      <c r="HW52" s="14"/>
      <c r="HY52" s="65"/>
      <c r="HZ52" s="13"/>
      <c r="IA52" s="14"/>
      <c r="IC52" s="65"/>
      <c r="ID52" s="13"/>
      <c r="IE52" s="14"/>
      <c r="IG52" s="65"/>
      <c r="IH52" s="13"/>
      <c r="II52" s="14"/>
      <c r="IK52" s="65"/>
      <c r="IL52" s="13"/>
      <c r="IM52" s="14"/>
      <c r="IO52" s="65"/>
      <c r="IP52" s="13"/>
      <c r="IQ52" s="14"/>
      <c r="IS52" s="65"/>
      <c r="IT52" s="13"/>
      <c r="IU52" s="14"/>
      <c r="IW52" s="65"/>
      <c r="IX52" s="13"/>
      <c r="IY52" s="14"/>
      <c r="JA52" s="65">
        <f t="shared" si="143"/>
        <v>14</v>
      </c>
      <c r="JB52" s="13">
        <f t="shared" si="60"/>
        <v>988024.30719467008</v>
      </c>
      <c r="JC52" s="14">
        <v>43152</v>
      </c>
      <c r="JE52" s="65"/>
      <c r="JF52" s="13"/>
      <c r="JG52" s="14"/>
      <c r="JI52" s="65"/>
      <c r="JJ52" s="13"/>
      <c r="JK52" s="14"/>
      <c r="JM52" s="65"/>
      <c r="JN52" s="13"/>
      <c r="JO52" s="14"/>
      <c r="JQ52" s="65"/>
      <c r="JR52" s="13"/>
      <c r="JS52" s="14"/>
      <c r="JU52" s="65">
        <f t="shared" si="148"/>
        <v>19</v>
      </c>
      <c r="JV52" s="13">
        <f t="shared" si="65"/>
        <v>1653539.6916217657</v>
      </c>
      <c r="JW52" s="14">
        <v>43174</v>
      </c>
      <c r="JY52" s="65"/>
      <c r="JZ52" s="13"/>
      <c r="KA52" s="14"/>
      <c r="KC52" s="65"/>
      <c r="KD52" s="13"/>
      <c r="KE52" s="14"/>
      <c r="KG52" s="65"/>
      <c r="KH52" s="13"/>
      <c r="KI52" s="14"/>
      <c r="KK52" s="65"/>
      <c r="KL52" s="13"/>
      <c r="KM52" s="14"/>
      <c r="KO52" s="65"/>
      <c r="KP52" s="13"/>
      <c r="KQ52" s="14"/>
      <c r="KS52" s="65">
        <f t="shared" si="154"/>
        <v>7</v>
      </c>
      <c r="KT52" s="13">
        <f t="shared" si="71"/>
        <v>3310976.7034496833</v>
      </c>
      <c r="KU52" s="14">
        <v>43215</v>
      </c>
      <c r="KW52" s="65"/>
      <c r="KX52" s="13"/>
      <c r="KY52" s="14"/>
      <c r="LA52" s="65">
        <f t="shared" si="156"/>
        <v>35</v>
      </c>
      <c r="LB52" s="13">
        <f t="shared" si="73"/>
        <v>2635372.6809513471</v>
      </c>
      <c r="LC52" s="14">
        <v>43229</v>
      </c>
      <c r="LE52" s="65"/>
      <c r="LF52" s="13"/>
      <c r="LG52" s="14"/>
      <c r="LI52" s="65"/>
      <c r="LJ52" s="13"/>
      <c r="LK52" s="14"/>
      <c r="LM52" s="65">
        <f t="shared" si="159"/>
        <v>23</v>
      </c>
      <c r="LN52" s="13">
        <f t="shared" si="76"/>
        <v>744955.37557202217</v>
      </c>
      <c r="LO52" s="14">
        <v>43239</v>
      </c>
      <c r="LQ52" s="65"/>
      <c r="LR52" s="13"/>
      <c r="LS52" s="14"/>
      <c r="LU52" s="65"/>
      <c r="LV52" s="13"/>
      <c r="LW52" s="14"/>
      <c r="LY52" s="65"/>
      <c r="LZ52" s="13"/>
      <c r="MA52" s="14"/>
      <c r="MC52" s="65"/>
      <c r="MD52" s="13"/>
      <c r="ME52" s="14"/>
      <c r="MG52" s="65"/>
      <c r="MH52" s="13"/>
      <c r="MI52" s="14"/>
      <c r="MK52" s="65"/>
      <c r="ML52" s="13"/>
      <c r="MM52" s="14"/>
      <c r="MO52" s="65"/>
      <c r="MP52" s="13"/>
      <c r="MQ52" s="14"/>
      <c r="MS52" s="65"/>
      <c r="MT52" s="13"/>
      <c r="MU52" s="14"/>
    </row>
    <row r="53" spans="1:359" x14ac:dyDescent="0.25">
      <c r="A53" s="15">
        <f t="shared" si="1"/>
        <v>732602.01184335654</v>
      </c>
      <c r="B53" s="20">
        <v>42747</v>
      </c>
      <c r="D53" s="12">
        <v>123</v>
      </c>
      <c r="E53" s="17">
        <v>1140815.3925550228</v>
      </c>
      <c r="F53" s="14">
        <v>42477</v>
      </c>
      <c r="I53" s="12"/>
      <c r="J53" s="13"/>
      <c r="K53" s="14"/>
      <c r="N53" s="12">
        <f t="shared" si="85"/>
        <v>53</v>
      </c>
      <c r="O53" s="13">
        <f t="shared" si="2"/>
        <v>732602.01184335654</v>
      </c>
      <c r="P53" s="14">
        <v>42747</v>
      </c>
      <c r="T53" s="15"/>
      <c r="U53" s="20"/>
      <c r="W53" s="12"/>
      <c r="X53" s="17"/>
      <c r="Y53" s="14"/>
      <c r="AB53" s="12"/>
      <c r="AC53" s="13"/>
      <c r="AD53" s="14"/>
      <c r="AG53" s="12"/>
      <c r="AH53" s="13"/>
      <c r="AI53" s="14"/>
      <c r="AK53" s="12"/>
      <c r="AL53" s="13"/>
      <c r="AM53" s="14"/>
      <c r="BM53" s="65">
        <f t="shared" si="94"/>
        <v>7</v>
      </c>
      <c r="BN53" s="13">
        <f t="shared" si="11"/>
        <v>1866515.0338393615</v>
      </c>
      <c r="BO53" s="14">
        <v>43013</v>
      </c>
      <c r="BQ53" s="65">
        <f t="shared" si="95"/>
        <v>12</v>
      </c>
      <c r="BR53" s="13">
        <f t="shared" si="12"/>
        <v>4299198.7847608486</v>
      </c>
      <c r="BS53" s="14">
        <v>43020</v>
      </c>
      <c r="BU53" s="65"/>
      <c r="BV53" s="13"/>
      <c r="BW53" s="14">
        <v>43029</v>
      </c>
      <c r="BY53" s="65"/>
      <c r="BZ53" s="13"/>
      <c r="CA53" s="14">
        <v>43029</v>
      </c>
      <c r="CC53" s="65"/>
      <c r="CD53" s="13"/>
      <c r="CE53" s="14">
        <v>43030</v>
      </c>
      <c r="CG53" s="65"/>
      <c r="CH53" s="13"/>
      <c r="CI53" s="14"/>
      <c r="CK53" s="65">
        <f t="shared" si="100"/>
        <v>21</v>
      </c>
      <c r="CL53" s="13">
        <f t="shared" si="17"/>
        <v>801683.63545308681</v>
      </c>
      <c r="CM53" s="14">
        <v>43034</v>
      </c>
      <c r="CO53" s="65"/>
      <c r="CP53" s="13"/>
      <c r="CQ53" s="14"/>
      <c r="CS53" s="65"/>
      <c r="CT53" s="13"/>
      <c r="CU53" s="14"/>
      <c r="CW53" s="65">
        <f t="shared" si="103"/>
        <v>3</v>
      </c>
      <c r="CX53" s="13">
        <f t="shared" si="20"/>
        <v>2550231.3468551133</v>
      </c>
      <c r="CY53" s="14">
        <v>43038</v>
      </c>
      <c r="DA53" s="65"/>
      <c r="DB53" s="13"/>
      <c r="DC53" s="14"/>
      <c r="DE53" s="65">
        <f t="shared" si="105"/>
        <v>2</v>
      </c>
      <c r="DF53" s="13">
        <f t="shared" si="22"/>
        <v>3203272.1525664963</v>
      </c>
      <c r="DG53" s="14">
        <v>43044</v>
      </c>
      <c r="DI53" s="65"/>
      <c r="DJ53" s="13"/>
      <c r="DK53" s="14"/>
      <c r="DM53" s="65"/>
      <c r="DN53" s="13"/>
      <c r="DO53" s="14"/>
      <c r="DQ53" s="65"/>
      <c r="DR53" s="13"/>
      <c r="DS53" s="14"/>
      <c r="DU53" s="65">
        <f t="shared" si="109"/>
        <v>47</v>
      </c>
      <c r="DV53" s="13">
        <f t="shared" si="26"/>
        <v>2333211.7270179815</v>
      </c>
      <c r="DW53" s="14">
        <v>43055</v>
      </c>
      <c r="DY53" s="65">
        <f t="shared" si="110"/>
        <v>58</v>
      </c>
      <c r="DZ53" s="13">
        <f t="shared" si="27"/>
        <v>793065.1276054522</v>
      </c>
      <c r="EA53" s="14">
        <v>43058</v>
      </c>
      <c r="EC53" s="65"/>
      <c r="ED53" s="13"/>
      <c r="EE53" s="14"/>
      <c r="EG53" s="65"/>
      <c r="EH53" s="13"/>
      <c r="EI53" s="14"/>
      <c r="EK53" s="65"/>
      <c r="EL53" s="13"/>
      <c r="EM53" s="14"/>
      <c r="EO53" s="65">
        <f t="shared" si="114"/>
        <v>32</v>
      </c>
      <c r="EP53" s="13">
        <f t="shared" si="31"/>
        <v>1281291.7674521259</v>
      </c>
      <c r="EQ53" s="14">
        <v>43070</v>
      </c>
      <c r="ES53" s="65"/>
      <c r="ET53" s="13"/>
      <c r="EU53" s="14"/>
      <c r="EW53" s="65"/>
      <c r="EX53" s="13"/>
      <c r="EY53" s="14"/>
      <c r="FA53" s="65">
        <f t="shared" si="117"/>
        <v>31</v>
      </c>
      <c r="FB53" s="13">
        <f t="shared" si="34"/>
        <v>1260869.3903251609</v>
      </c>
      <c r="FC53" s="14">
        <v>43077</v>
      </c>
      <c r="FE53" s="65">
        <f t="shared" si="118"/>
        <v>26</v>
      </c>
      <c r="FF53" s="13">
        <f t="shared" si="35"/>
        <v>3156102.1925492492</v>
      </c>
      <c r="FG53" s="14">
        <v>43077</v>
      </c>
      <c r="FI53" s="65">
        <f t="shared" si="119"/>
        <v>23</v>
      </c>
      <c r="FJ53" s="13">
        <f t="shared" si="36"/>
        <v>1743135.4242130981</v>
      </c>
      <c r="FK53" s="14">
        <v>43079</v>
      </c>
      <c r="FM53" s="65"/>
      <c r="FN53" s="13"/>
      <c r="FO53" s="14"/>
      <c r="FQ53" s="65"/>
      <c r="FR53" s="13"/>
      <c r="FS53" s="14"/>
      <c r="FU53" s="65"/>
      <c r="FV53" s="13"/>
      <c r="FW53" s="14"/>
      <c r="FY53" s="65"/>
      <c r="FZ53" s="13"/>
      <c r="GA53" s="14"/>
      <c r="GC53" s="65"/>
      <c r="GD53" s="13"/>
      <c r="GE53" s="14"/>
      <c r="GG53" s="65"/>
      <c r="GH53" s="13"/>
      <c r="GI53" s="14"/>
      <c r="GK53" s="65"/>
      <c r="GL53" s="13"/>
      <c r="GM53" s="14"/>
      <c r="GO53" s="65"/>
      <c r="GP53" s="13"/>
      <c r="GQ53" s="14"/>
      <c r="GS53" s="65"/>
      <c r="GT53" s="13"/>
      <c r="GU53" s="14"/>
      <c r="GW53" s="65"/>
      <c r="GX53" s="13"/>
      <c r="GY53" s="14"/>
      <c r="HA53" s="65"/>
      <c r="HB53" s="13"/>
      <c r="HC53" s="14"/>
      <c r="HE53" s="65"/>
      <c r="HF53" s="13"/>
      <c r="HG53" s="14"/>
      <c r="HI53" s="65"/>
      <c r="HJ53" s="13"/>
      <c r="HK53" s="14"/>
      <c r="HM53" s="65"/>
      <c r="HN53" s="13"/>
      <c r="HO53" s="14"/>
      <c r="HQ53" s="65"/>
      <c r="HR53" s="13"/>
      <c r="HS53" s="14"/>
      <c r="HU53" s="65"/>
      <c r="HV53" s="13"/>
      <c r="HW53" s="14"/>
      <c r="HY53" s="65"/>
      <c r="HZ53" s="13"/>
      <c r="IA53" s="14"/>
      <c r="IC53" s="65"/>
      <c r="ID53" s="13"/>
      <c r="IE53" s="14"/>
      <c r="IG53" s="65"/>
      <c r="IH53" s="13"/>
      <c r="II53" s="14"/>
      <c r="IK53" s="65"/>
      <c r="IL53" s="13"/>
      <c r="IM53" s="14"/>
      <c r="IO53" s="65"/>
      <c r="IP53" s="13"/>
      <c r="IQ53" s="14"/>
      <c r="IS53" s="65"/>
      <c r="IT53" s="13"/>
      <c r="IU53" s="14"/>
      <c r="IW53" s="65"/>
      <c r="IX53" s="13"/>
      <c r="IY53" s="14"/>
      <c r="JA53" s="65">
        <f t="shared" si="143"/>
        <v>13</v>
      </c>
      <c r="JB53" s="13">
        <f t="shared" si="60"/>
        <v>988076.89756982226</v>
      </c>
      <c r="JC53" s="14">
        <v>43153</v>
      </c>
      <c r="JE53" s="65"/>
      <c r="JF53" s="13"/>
      <c r="JG53" s="14"/>
      <c r="JI53" s="65"/>
      <c r="JJ53" s="13"/>
      <c r="JK53" s="14"/>
      <c r="JM53" s="65"/>
      <c r="JN53" s="13"/>
      <c r="JO53" s="14"/>
      <c r="JQ53" s="65"/>
      <c r="JR53" s="13"/>
      <c r="JS53" s="14"/>
      <c r="JU53" s="65">
        <f t="shared" si="148"/>
        <v>18</v>
      </c>
      <c r="JV53" s="13">
        <f t="shared" si="65"/>
        <v>1653642.3346244739</v>
      </c>
      <c r="JW53" s="14">
        <v>43175</v>
      </c>
      <c r="JY53" s="65"/>
      <c r="JZ53" s="13"/>
      <c r="KA53" s="14"/>
      <c r="KC53" s="65"/>
      <c r="KD53" s="13"/>
      <c r="KE53" s="14"/>
      <c r="KG53" s="65"/>
      <c r="KH53" s="13"/>
      <c r="KI53" s="14"/>
      <c r="KK53" s="65"/>
      <c r="KL53" s="13"/>
      <c r="KM53" s="14"/>
      <c r="KO53" s="65"/>
      <c r="KP53" s="13"/>
      <c r="KQ53" s="14"/>
      <c r="KS53" s="65">
        <f t="shared" si="154"/>
        <v>6</v>
      </c>
      <c r="KT53" s="13">
        <f t="shared" si="71"/>
        <v>3311189.2070981949</v>
      </c>
      <c r="KU53" s="14">
        <v>43216</v>
      </c>
      <c r="KW53" s="65"/>
      <c r="KX53" s="13"/>
      <c r="KY53" s="14"/>
      <c r="LA53" s="65">
        <f t="shared" si="156"/>
        <v>34</v>
      </c>
      <c r="LB53" s="13">
        <f t="shared" si="73"/>
        <v>2635574.2008949006</v>
      </c>
      <c r="LC53" s="14">
        <v>43230</v>
      </c>
      <c r="LE53" s="65"/>
      <c r="LF53" s="13"/>
      <c r="LG53" s="14"/>
      <c r="LI53" s="65"/>
      <c r="LJ53" s="13"/>
      <c r="LK53" s="14"/>
      <c r="LM53" s="65">
        <f t="shared" si="159"/>
        <v>22</v>
      </c>
      <c r="LN53" s="13">
        <f t="shared" si="76"/>
        <v>745008.62483971089</v>
      </c>
      <c r="LO53" s="14">
        <v>43240</v>
      </c>
      <c r="LQ53" s="65"/>
      <c r="LR53" s="13"/>
      <c r="LS53" s="14"/>
      <c r="LU53" s="65"/>
      <c r="LV53" s="13"/>
      <c r="LW53" s="14"/>
      <c r="LY53" s="65"/>
      <c r="LZ53" s="13"/>
      <c r="MA53" s="14"/>
      <c r="MC53" s="65"/>
      <c r="MD53" s="13"/>
      <c r="ME53" s="14"/>
      <c r="MG53" s="65"/>
      <c r="MH53" s="13"/>
      <c r="MI53" s="14"/>
      <c r="MK53" s="65"/>
      <c r="ML53" s="13"/>
      <c r="MM53" s="14"/>
      <c r="MO53" s="65"/>
      <c r="MP53" s="13"/>
      <c r="MQ53" s="14"/>
      <c r="MS53" s="65"/>
      <c r="MT53" s="13"/>
      <c r="MU53" s="14"/>
    </row>
    <row r="54" spans="1:359" x14ac:dyDescent="0.25">
      <c r="A54" s="15">
        <f t="shared" si="1"/>
        <v>732631.35585142695</v>
      </c>
      <c r="B54" s="20">
        <v>42748</v>
      </c>
      <c r="D54" s="12">
        <v>122</v>
      </c>
      <c r="E54" s="17">
        <v>1140842.5441173466</v>
      </c>
      <c r="F54" s="14">
        <v>42478</v>
      </c>
      <c r="I54" s="12"/>
      <c r="J54" s="13"/>
      <c r="K54" s="14"/>
      <c r="N54" s="12">
        <f t="shared" si="85"/>
        <v>52</v>
      </c>
      <c r="O54" s="13">
        <f t="shared" si="2"/>
        <v>732631.35585142695</v>
      </c>
      <c r="P54" s="14">
        <v>42748</v>
      </c>
      <c r="T54" s="15"/>
      <c r="U54" s="20"/>
      <c r="W54" s="12"/>
      <c r="X54" s="17"/>
      <c r="Y54" s="14"/>
      <c r="AB54" s="12"/>
      <c r="AC54" s="13"/>
      <c r="AD54" s="14"/>
      <c r="AG54" s="12"/>
      <c r="AH54" s="13"/>
      <c r="AI54" s="14"/>
      <c r="AK54" s="12"/>
      <c r="AL54" s="13"/>
      <c r="AM54" s="14"/>
      <c r="BM54" s="65">
        <f t="shared" si="94"/>
        <v>6</v>
      </c>
      <c r="BN54" s="13">
        <f t="shared" si="11"/>
        <v>1866614.3162560773</v>
      </c>
      <c r="BO54" s="14">
        <v>43014</v>
      </c>
      <c r="BQ54" s="65">
        <f t="shared" si="95"/>
        <v>11</v>
      </c>
      <c r="BR54" s="13">
        <f t="shared" si="12"/>
        <v>4299499.4040496722</v>
      </c>
      <c r="BS54" s="14">
        <v>43021</v>
      </c>
      <c r="BU54" s="65"/>
      <c r="BV54" s="13"/>
      <c r="BW54" s="14">
        <v>43030</v>
      </c>
      <c r="BY54" s="65"/>
      <c r="BZ54" s="13"/>
      <c r="CA54" s="14">
        <v>43030</v>
      </c>
      <c r="CC54" s="65"/>
      <c r="CD54" s="13"/>
      <c r="CE54" s="14">
        <v>43031</v>
      </c>
      <c r="CG54" s="65"/>
      <c r="CH54" s="13"/>
      <c r="CI54" s="14"/>
      <c r="CK54" s="65">
        <f t="shared" si="100"/>
        <v>20</v>
      </c>
      <c r="CL54" s="13">
        <f t="shared" si="17"/>
        <v>801721.4293562274</v>
      </c>
      <c r="CM54" s="14">
        <v>43035</v>
      </c>
      <c r="CO54" s="65"/>
      <c r="CP54" s="13"/>
      <c r="CQ54" s="14"/>
      <c r="CS54" s="65"/>
      <c r="CT54" s="13"/>
      <c r="CU54" s="14"/>
      <c r="CW54" s="65">
        <f t="shared" si="103"/>
        <v>2</v>
      </c>
      <c r="CX54" s="13">
        <f t="shared" si="20"/>
        <v>2550345.2483167443</v>
      </c>
      <c r="CY54" s="14">
        <v>43039</v>
      </c>
      <c r="DA54" s="65"/>
      <c r="DB54" s="13"/>
      <c r="DC54" s="14"/>
      <c r="DE54" s="65">
        <f t="shared" si="105"/>
        <v>1</v>
      </c>
      <c r="DF54" s="13">
        <f t="shared" si="22"/>
        <v>3203430.0784120685</v>
      </c>
      <c r="DG54" s="14">
        <v>43045</v>
      </c>
      <c r="DI54" s="65"/>
      <c r="DJ54" s="13"/>
      <c r="DK54" s="14"/>
      <c r="DM54" s="65"/>
      <c r="DN54" s="13"/>
      <c r="DO54" s="14"/>
      <c r="DQ54" s="65"/>
      <c r="DR54" s="13"/>
      <c r="DS54" s="14"/>
      <c r="DU54" s="65">
        <f t="shared" si="109"/>
        <v>46</v>
      </c>
      <c r="DV54" s="13">
        <f t="shared" si="26"/>
        <v>2333326.837820108</v>
      </c>
      <c r="DW54" s="14">
        <v>43056</v>
      </c>
      <c r="DY54" s="65">
        <f t="shared" si="110"/>
        <v>57</v>
      </c>
      <c r="DZ54" s="13">
        <f t="shared" si="27"/>
        <v>793106.66762195434</v>
      </c>
      <c r="EA54" s="14">
        <v>43059</v>
      </c>
      <c r="EC54" s="65"/>
      <c r="ED54" s="13"/>
      <c r="EE54" s="14"/>
      <c r="EG54" s="65"/>
      <c r="EH54" s="13"/>
      <c r="EI54" s="14"/>
      <c r="EK54" s="65"/>
      <c r="EL54" s="13"/>
      <c r="EM54" s="14"/>
      <c r="EO54" s="65">
        <f t="shared" si="114"/>
        <v>31</v>
      </c>
      <c r="EP54" s="13">
        <f t="shared" si="31"/>
        <v>1281366.7960624399</v>
      </c>
      <c r="EQ54" s="14">
        <v>43071</v>
      </c>
      <c r="ES54" s="65"/>
      <c r="ET54" s="13"/>
      <c r="EU54" s="14"/>
      <c r="EW54" s="65"/>
      <c r="EX54" s="13"/>
      <c r="EY54" s="14"/>
      <c r="FA54" s="65">
        <f t="shared" si="117"/>
        <v>30</v>
      </c>
      <c r="FB54" s="13">
        <f t="shared" si="34"/>
        <v>1260944.5795762292</v>
      </c>
      <c r="FC54" s="14">
        <v>43078</v>
      </c>
      <c r="FE54" s="65">
        <f t="shared" si="118"/>
        <v>25</v>
      </c>
      <c r="FF54" s="13">
        <f t="shared" si="35"/>
        <v>3156279.0178183126</v>
      </c>
      <c r="FG54" s="14">
        <v>43078</v>
      </c>
      <c r="FI54" s="65">
        <f t="shared" si="119"/>
        <v>22</v>
      </c>
      <c r="FJ54" s="13">
        <f t="shared" si="36"/>
        <v>1743241.9330528104</v>
      </c>
      <c r="FK54" s="14">
        <v>43080</v>
      </c>
      <c r="FM54" s="65"/>
      <c r="FN54" s="13"/>
      <c r="FO54" s="14"/>
      <c r="FQ54" s="65"/>
      <c r="FR54" s="13"/>
      <c r="FS54" s="14"/>
      <c r="FU54" s="65"/>
      <c r="FV54" s="13"/>
      <c r="FW54" s="14"/>
      <c r="FY54" s="65"/>
      <c r="FZ54" s="13"/>
      <c r="GA54" s="14"/>
      <c r="GC54" s="65"/>
      <c r="GD54" s="13"/>
      <c r="GE54" s="14"/>
      <c r="GG54" s="65"/>
      <c r="GH54" s="13"/>
      <c r="GI54" s="14"/>
      <c r="GK54" s="65"/>
      <c r="GL54" s="13"/>
      <c r="GM54" s="14"/>
      <c r="GO54" s="65"/>
      <c r="GP54" s="13"/>
      <c r="GQ54" s="14"/>
      <c r="GS54" s="65"/>
      <c r="GT54" s="13"/>
      <c r="GU54" s="14"/>
      <c r="GW54" s="65"/>
      <c r="GX54" s="13"/>
      <c r="GY54" s="14"/>
      <c r="HA54" s="65"/>
      <c r="HB54" s="13"/>
      <c r="HC54" s="14"/>
      <c r="HE54" s="65"/>
      <c r="HF54" s="13"/>
      <c r="HG54" s="14"/>
      <c r="HI54" s="65"/>
      <c r="HJ54" s="13"/>
      <c r="HK54" s="14"/>
      <c r="HM54" s="65"/>
      <c r="HN54" s="13"/>
      <c r="HO54" s="14"/>
      <c r="HQ54" s="65"/>
      <c r="HR54" s="13"/>
      <c r="HS54" s="14"/>
      <c r="HU54" s="65"/>
      <c r="HV54" s="13"/>
      <c r="HW54" s="14"/>
      <c r="HY54" s="65"/>
      <c r="HZ54" s="13"/>
      <c r="IA54" s="14"/>
      <c r="IC54" s="65"/>
      <c r="ID54" s="13"/>
      <c r="IE54" s="14"/>
      <c r="IG54" s="65"/>
      <c r="IH54" s="13"/>
      <c r="II54" s="14"/>
      <c r="IK54" s="65"/>
      <c r="IL54" s="13"/>
      <c r="IM54" s="14"/>
      <c r="IO54" s="65"/>
      <c r="IP54" s="13"/>
      <c r="IQ54" s="14"/>
      <c r="IS54" s="65"/>
      <c r="IT54" s="13"/>
      <c r="IU54" s="14"/>
      <c r="IW54" s="65"/>
      <c r="IX54" s="13"/>
      <c r="IY54" s="14"/>
      <c r="JA54" s="65">
        <f t="shared" si="143"/>
        <v>12</v>
      </c>
      <c r="JB54" s="13">
        <f t="shared" si="60"/>
        <v>988129.49354381382</v>
      </c>
      <c r="JC54" s="14">
        <v>43154</v>
      </c>
      <c r="JE54" s="65"/>
      <c r="JF54" s="13"/>
      <c r="JG54" s="14"/>
      <c r="JI54" s="65"/>
      <c r="JJ54" s="13"/>
      <c r="JK54" s="14"/>
      <c r="JM54" s="65"/>
      <c r="JN54" s="13"/>
      <c r="JO54" s="14"/>
      <c r="JQ54" s="65"/>
      <c r="JR54" s="13"/>
      <c r="JS54" s="14"/>
      <c r="JU54" s="65">
        <f t="shared" si="148"/>
        <v>17</v>
      </c>
      <c r="JV54" s="13">
        <f t="shared" si="65"/>
        <v>1653744.9903710436</v>
      </c>
      <c r="JW54" s="14">
        <v>43176</v>
      </c>
      <c r="JY54" s="65"/>
      <c r="JZ54" s="13"/>
      <c r="KA54" s="14"/>
      <c r="KC54" s="65"/>
      <c r="KD54" s="13"/>
      <c r="KE54" s="14"/>
      <c r="KG54" s="65"/>
      <c r="KH54" s="13"/>
      <c r="KI54" s="14"/>
      <c r="KK54" s="65"/>
      <c r="KL54" s="13"/>
      <c r="KM54" s="14"/>
      <c r="KO54" s="65"/>
      <c r="KP54" s="13"/>
      <c r="KQ54" s="14"/>
      <c r="KS54" s="65">
        <f t="shared" si="154"/>
        <v>5</v>
      </c>
      <c r="KT54" s="13">
        <f t="shared" si="71"/>
        <v>3311401.738026089</v>
      </c>
      <c r="KU54" s="14">
        <v>43217</v>
      </c>
      <c r="KW54" s="65"/>
      <c r="KX54" s="13"/>
      <c r="KY54" s="14"/>
      <c r="LA54" s="65">
        <f t="shared" si="156"/>
        <v>33</v>
      </c>
      <c r="LB54" s="13">
        <f t="shared" si="73"/>
        <v>2635775.7516601998</v>
      </c>
      <c r="LC54" s="14">
        <v>43231</v>
      </c>
      <c r="LE54" s="65"/>
      <c r="LF54" s="13"/>
      <c r="LG54" s="14"/>
      <c r="LI54" s="65"/>
      <c r="LJ54" s="13"/>
      <c r="LK54" s="14"/>
      <c r="LM54" s="65">
        <f t="shared" si="159"/>
        <v>21</v>
      </c>
      <c r="LN54" s="13">
        <f t="shared" si="76"/>
        <v>745061.8817204386</v>
      </c>
      <c r="LO54" s="14">
        <v>43241</v>
      </c>
      <c r="LQ54" s="65"/>
      <c r="LR54" s="13"/>
      <c r="LS54" s="14"/>
      <c r="LU54" s="65"/>
      <c r="LV54" s="13"/>
      <c r="LW54" s="14"/>
      <c r="LY54" s="65"/>
      <c r="LZ54" s="13"/>
      <c r="MA54" s="14"/>
      <c r="MC54" s="65"/>
      <c r="MD54" s="13"/>
      <c r="ME54" s="14"/>
      <c r="MG54" s="65"/>
      <c r="MH54" s="13"/>
      <c r="MI54" s="14"/>
      <c r="MK54" s="65"/>
      <c r="ML54" s="13"/>
      <c r="MM54" s="14"/>
      <c r="MO54" s="65"/>
      <c r="MP54" s="13"/>
      <c r="MQ54" s="14"/>
      <c r="MS54" s="65"/>
      <c r="MT54" s="13"/>
      <c r="MU54" s="14"/>
    </row>
    <row r="55" spans="1:359" x14ac:dyDescent="0.25">
      <c r="A55" s="15">
        <f t="shared" si="1"/>
        <v>732660.70221031073</v>
      </c>
      <c r="B55" s="20">
        <v>42749</v>
      </c>
      <c r="D55" s="12">
        <v>121</v>
      </c>
      <c r="E55" s="17">
        <v>1140869.6969721226</v>
      </c>
      <c r="F55" s="14">
        <v>42479</v>
      </c>
      <c r="I55" s="12"/>
      <c r="J55" s="13"/>
      <c r="K55" s="14"/>
      <c r="N55" s="12">
        <f t="shared" si="85"/>
        <v>51</v>
      </c>
      <c r="O55" s="13">
        <f t="shared" si="2"/>
        <v>732660.70221031073</v>
      </c>
      <c r="P55" s="14">
        <v>42749</v>
      </c>
      <c r="T55" s="15"/>
      <c r="U55" s="20"/>
      <c r="W55" s="12"/>
      <c r="X55" s="17"/>
      <c r="Y55" s="14"/>
      <c r="AB55" s="12"/>
      <c r="AC55" s="13"/>
      <c r="AD55" s="14"/>
      <c r="AG55" s="12"/>
      <c r="AH55" s="13"/>
      <c r="AI55" s="14"/>
      <c r="AK55" s="12"/>
      <c r="AL55" s="13"/>
      <c r="AM55" s="14"/>
      <c r="BM55" s="65">
        <f t="shared" si="94"/>
        <v>5</v>
      </c>
      <c r="BN55" s="13">
        <f t="shared" si="11"/>
        <v>1866713.6092352823</v>
      </c>
      <c r="BO55" s="14">
        <v>43015</v>
      </c>
      <c r="BQ55" s="65">
        <f t="shared" si="95"/>
        <v>10</v>
      </c>
      <c r="BR55" s="13">
        <f t="shared" si="12"/>
        <v>4299800.0653827367</v>
      </c>
      <c r="BS55" s="14">
        <v>43022</v>
      </c>
      <c r="BU55" s="65"/>
      <c r="BV55" s="13"/>
      <c r="BW55" s="14">
        <v>43031</v>
      </c>
      <c r="BY55" s="65"/>
      <c r="BZ55" s="13"/>
      <c r="CA55" s="14">
        <v>43031</v>
      </c>
      <c r="CC55" s="65"/>
      <c r="CD55" s="13"/>
      <c r="CE55" s="14">
        <v>43032</v>
      </c>
      <c r="CG55" s="65"/>
      <c r="CH55" s="13"/>
      <c r="CI55" s="14"/>
      <c r="CK55" s="65">
        <f t="shared" si="100"/>
        <v>19</v>
      </c>
      <c r="CL55" s="13">
        <f t="shared" si="17"/>
        <v>801759.2268229844</v>
      </c>
      <c r="CM55" s="14">
        <v>43036</v>
      </c>
      <c r="CO55" s="65"/>
      <c r="CP55" s="13"/>
      <c r="CQ55" s="14"/>
      <c r="CS55" s="65"/>
      <c r="CT55" s="13"/>
      <c r="CU55" s="14"/>
      <c r="CW55" s="65">
        <f t="shared" si="103"/>
        <v>1</v>
      </c>
      <c r="CX55" s="13">
        <f t="shared" si="20"/>
        <v>2550459.1599532338</v>
      </c>
      <c r="CY55" s="14">
        <v>43040</v>
      </c>
      <c r="DA55" s="65"/>
      <c r="DB55" s="13"/>
      <c r="DC55" s="14"/>
      <c r="DE55" s="65">
        <f t="shared" si="105"/>
        <v>0</v>
      </c>
      <c r="DF55" s="13">
        <f>($DG$2/(1+$DG$4*DE55/360))*0</f>
        <v>0</v>
      </c>
      <c r="DG55" s="14">
        <v>43046</v>
      </c>
      <c r="DI55" s="65"/>
      <c r="DJ55" s="13"/>
      <c r="DK55" s="14"/>
      <c r="DM55" s="65"/>
      <c r="DN55" s="13"/>
      <c r="DO55" s="14"/>
      <c r="DQ55" s="65"/>
      <c r="DR55" s="13"/>
      <c r="DS55" s="14"/>
      <c r="DU55" s="65">
        <f t="shared" si="109"/>
        <v>45</v>
      </c>
      <c r="DV55" s="13">
        <f t="shared" si="26"/>
        <v>2333441.9599809558</v>
      </c>
      <c r="DW55" s="14">
        <v>43057</v>
      </c>
      <c r="DY55" s="65">
        <f t="shared" si="110"/>
        <v>56</v>
      </c>
      <c r="DZ55" s="13">
        <f t="shared" si="27"/>
        <v>793148.21199033945</v>
      </c>
      <c r="EA55" s="14">
        <v>43060</v>
      </c>
      <c r="EC55" s="65"/>
      <c r="ED55" s="13"/>
      <c r="EE55" s="14"/>
      <c r="EG55" s="65"/>
      <c r="EH55" s="13"/>
      <c r="EI55" s="14"/>
      <c r="EK55" s="65"/>
      <c r="EL55" s="13"/>
      <c r="EM55" s="14"/>
      <c r="EO55" s="65">
        <f t="shared" si="114"/>
        <v>30</v>
      </c>
      <c r="EP55" s="13">
        <f t="shared" si="31"/>
        <v>1281441.8334601703</v>
      </c>
      <c r="EQ55" s="14">
        <v>43072</v>
      </c>
      <c r="ES55" s="65"/>
      <c r="ET55" s="13"/>
      <c r="EU55" s="14"/>
      <c r="EW55" s="65"/>
      <c r="EX55" s="13"/>
      <c r="EY55" s="14"/>
      <c r="FA55" s="65">
        <f t="shared" si="117"/>
        <v>29</v>
      </c>
      <c r="FB55" s="13">
        <f t="shared" si="34"/>
        <v>1261019.7777953325</v>
      </c>
      <c r="FC55" s="14">
        <v>43079</v>
      </c>
      <c r="FE55" s="65">
        <f t="shared" si="118"/>
        <v>24</v>
      </c>
      <c r="FF55" s="13">
        <f t="shared" si="35"/>
        <v>3156455.8629022781</v>
      </c>
      <c r="FG55" s="14">
        <v>43079</v>
      </c>
      <c r="FI55" s="65">
        <f t="shared" si="119"/>
        <v>21</v>
      </c>
      <c r="FJ55" s="13">
        <f t="shared" si="36"/>
        <v>1743348.4549090974</v>
      </c>
      <c r="FK55" s="14">
        <v>43081</v>
      </c>
      <c r="FM55" s="65"/>
      <c r="FN55" s="13"/>
      <c r="FO55" s="14"/>
      <c r="FQ55" s="65"/>
      <c r="FR55" s="13"/>
      <c r="FS55" s="14"/>
      <c r="FU55" s="65"/>
      <c r="FV55" s="13"/>
      <c r="FW55" s="14"/>
      <c r="FY55" s="65"/>
      <c r="FZ55" s="13"/>
      <c r="GA55" s="14"/>
      <c r="GC55" s="65"/>
      <c r="GD55" s="13"/>
      <c r="GE55" s="14"/>
      <c r="GG55" s="65"/>
      <c r="GH55" s="13"/>
      <c r="GI55" s="14"/>
      <c r="GK55" s="65"/>
      <c r="GL55" s="13"/>
      <c r="GM55" s="14"/>
      <c r="GO55" s="65"/>
      <c r="GP55" s="13"/>
      <c r="GQ55" s="14"/>
      <c r="GS55" s="65"/>
      <c r="GT55" s="13"/>
      <c r="GU55" s="14"/>
      <c r="GW55" s="65"/>
      <c r="GX55" s="13"/>
      <c r="GY55" s="14"/>
      <c r="HA55" s="65"/>
      <c r="HB55" s="13"/>
      <c r="HC55" s="14"/>
      <c r="HE55" s="65"/>
      <c r="HF55" s="13"/>
      <c r="HG55" s="14"/>
      <c r="HI55" s="65"/>
      <c r="HJ55" s="13"/>
      <c r="HK55" s="14"/>
      <c r="HM55" s="65"/>
      <c r="HN55" s="13"/>
      <c r="HO55" s="14"/>
      <c r="HQ55" s="65"/>
      <c r="HR55" s="13"/>
      <c r="HS55" s="14"/>
      <c r="HU55" s="65"/>
      <c r="HV55" s="13"/>
      <c r="HW55" s="14"/>
      <c r="HY55" s="65"/>
      <c r="HZ55" s="13"/>
      <c r="IA55" s="14"/>
      <c r="IC55" s="65"/>
      <c r="ID55" s="13"/>
      <c r="IE55" s="14"/>
      <c r="IG55" s="65"/>
      <c r="IH55" s="13"/>
      <c r="II55" s="14"/>
      <c r="IK55" s="65"/>
      <c r="IL55" s="13"/>
      <c r="IM55" s="14"/>
      <c r="IO55" s="65"/>
      <c r="IP55" s="13"/>
      <c r="IQ55" s="14"/>
      <c r="IS55" s="65"/>
      <c r="IT55" s="13"/>
      <c r="IU55" s="14"/>
      <c r="IW55" s="65"/>
      <c r="IX55" s="13"/>
      <c r="IY55" s="14"/>
      <c r="JA55" s="65">
        <f t="shared" si="143"/>
        <v>11</v>
      </c>
      <c r="JB55" s="13">
        <f t="shared" si="60"/>
        <v>988182.09511753917</v>
      </c>
      <c r="JC55" s="14">
        <v>43155</v>
      </c>
      <c r="JE55" s="65"/>
      <c r="JF55" s="13"/>
      <c r="JG55" s="14"/>
      <c r="JI55" s="65"/>
      <c r="JJ55" s="13"/>
      <c r="JK55" s="14"/>
      <c r="JM55" s="65"/>
      <c r="JN55" s="13"/>
      <c r="JO55" s="14"/>
      <c r="JQ55" s="65"/>
      <c r="JR55" s="13"/>
      <c r="JS55" s="14"/>
      <c r="JU55" s="65">
        <f t="shared" si="148"/>
        <v>16</v>
      </c>
      <c r="JV55" s="13">
        <f t="shared" si="65"/>
        <v>1653847.6588638474</v>
      </c>
      <c r="JW55" s="14">
        <v>43177</v>
      </c>
      <c r="JY55" s="65"/>
      <c r="JZ55" s="13"/>
      <c r="KA55" s="14"/>
      <c r="KC55" s="65"/>
      <c r="KD55" s="13"/>
      <c r="KE55" s="14"/>
      <c r="KG55" s="65"/>
      <c r="KH55" s="13"/>
      <c r="KI55" s="14"/>
      <c r="KK55" s="65"/>
      <c r="KL55" s="13"/>
      <c r="KM55" s="14"/>
      <c r="KO55" s="65"/>
      <c r="KP55" s="13"/>
      <c r="KQ55" s="14"/>
      <c r="KS55" s="65">
        <f t="shared" si="154"/>
        <v>4</v>
      </c>
      <c r="KT55" s="13">
        <f t="shared" si="71"/>
        <v>3311614.296238618</v>
      </c>
      <c r="KU55" s="14">
        <v>43218</v>
      </c>
      <c r="KW55" s="65"/>
      <c r="KX55" s="13"/>
      <c r="KY55" s="14"/>
      <c r="LA55" s="65">
        <f t="shared" si="156"/>
        <v>32</v>
      </c>
      <c r="LB55" s="13">
        <f t="shared" si="73"/>
        <v>2635977.3332543159</v>
      </c>
      <c r="LC55" s="14">
        <v>43232</v>
      </c>
      <c r="LE55" s="65"/>
      <c r="LF55" s="13"/>
      <c r="LG55" s="14"/>
      <c r="LI55" s="65"/>
      <c r="LJ55" s="13"/>
      <c r="LK55" s="14"/>
      <c r="LM55" s="65">
        <f t="shared" si="159"/>
        <v>20</v>
      </c>
      <c r="LN55" s="13">
        <f t="shared" si="76"/>
        <v>745115.14621583838</v>
      </c>
      <c r="LO55" s="14">
        <v>43242</v>
      </c>
      <c r="LQ55" s="65"/>
      <c r="LR55" s="13"/>
      <c r="LS55" s="14"/>
      <c r="LU55" s="65"/>
      <c r="LV55" s="13"/>
      <c r="LW55" s="14"/>
      <c r="LY55" s="65"/>
      <c r="LZ55" s="13"/>
      <c r="MA55" s="14"/>
      <c r="MC55" s="65"/>
      <c r="MD55" s="13"/>
      <c r="ME55" s="14"/>
      <c r="MG55" s="65"/>
      <c r="MH55" s="13"/>
      <c r="MI55" s="14"/>
      <c r="MK55" s="65"/>
      <c r="ML55" s="13"/>
      <c r="MM55" s="14"/>
      <c r="MO55" s="65"/>
      <c r="MP55" s="13"/>
      <c r="MQ55" s="14"/>
      <c r="MS55" s="65"/>
      <c r="MT55" s="13"/>
      <c r="MU55" s="14"/>
    </row>
    <row r="56" spans="1:359" x14ac:dyDescent="0.25">
      <c r="A56" s="15">
        <f t="shared" si="1"/>
        <v>732690.05092029041</v>
      </c>
      <c r="B56" s="20">
        <v>42750</v>
      </c>
      <c r="D56" s="12">
        <v>120</v>
      </c>
      <c r="E56" s="17">
        <v>1140896.8511194435</v>
      </c>
      <c r="F56" s="14">
        <v>42480</v>
      </c>
      <c r="I56" s="12"/>
      <c r="J56" s="13"/>
      <c r="K56" s="14"/>
      <c r="N56" s="12">
        <f t="shared" si="85"/>
        <v>50</v>
      </c>
      <c r="O56" s="13">
        <f t="shared" si="2"/>
        <v>732690.05092029041</v>
      </c>
      <c r="P56" s="14">
        <v>42750</v>
      </c>
      <c r="T56" s="15"/>
      <c r="U56" s="20"/>
      <c r="W56" s="12"/>
      <c r="X56" s="17"/>
      <c r="Y56" s="14"/>
      <c r="AB56" s="12"/>
      <c r="AC56" s="13"/>
      <c r="AD56" s="14"/>
      <c r="AG56" s="12"/>
      <c r="AH56" s="13"/>
      <c r="AI56" s="14"/>
      <c r="AK56" s="12"/>
      <c r="AL56" s="13"/>
      <c r="AM56" s="14"/>
      <c r="BM56" s="65">
        <f t="shared" si="94"/>
        <v>4</v>
      </c>
      <c r="BN56" s="13">
        <f t="shared" si="11"/>
        <v>1866812.9127786625</v>
      </c>
      <c r="BO56" s="14">
        <v>43016</v>
      </c>
      <c r="BQ56" s="65">
        <f t="shared" si="95"/>
        <v>9</v>
      </c>
      <c r="BR56" s="13">
        <f t="shared" si="12"/>
        <v>4300100.7687688647</v>
      </c>
      <c r="BS56" s="14">
        <v>43023</v>
      </c>
      <c r="BU56" s="65"/>
      <c r="BV56" s="13"/>
      <c r="BW56" s="14">
        <v>43032</v>
      </c>
      <c r="BY56" s="65"/>
      <c r="BZ56" s="13"/>
      <c r="CA56" s="14">
        <v>43032</v>
      </c>
      <c r="CC56" s="65"/>
      <c r="CD56" s="13"/>
      <c r="CE56" s="14">
        <v>43033</v>
      </c>
      <c r="CG56" s="65"/>
      <c r="CH56" s="13"/>
      <c r="CI56" s="14"/>
      <c r="CK56" s="65">
        <f t="shared" si="100"/>
        <v>18</v>
      </c>
      <c r="CL56" s="13">
        <f t="shared" si="17"/>
        <v>801797.02785386168</v>
      </c>
      <c r="CM56" s="14">
        <v>43037</v>
      </c>
      <c r="CO56" s="65"/>
      <c r="CP56" s="13"/>
      <c r="CQ56" s="14"/>
      <c r="CS56" s="65"/>
      <c r="CT56" s="13"/>
      <c r="CU56" s="14"/>
      <c r="CW56" s="65">
        <f t="shared" si="103"/>
        <v>0</v>
      </c>
      <c r="CX56" s="13">
        <f>($CY$2/(1+$CY$4*CW56/360))*0</f>
        <v>0</v>
      </c>
      <c r="CY56" s="14">
        <v>43041</v>
      </c>
      <c r="DA56" s="65"/>
      <c r="DB56" s="13"/>
      <c r="DC56" s="14"/>
      <c r="DE56" s="65"/>
      <c r="DF56" s="13"/>
      <c r="DG56" s="14"/>
      <c r="DI56" s="65"/>
      <c r="DJ56" s="13"/>
      <c r="DK56" s="14"/>
      <c r="DM56" s="65"/>
      <c r="DN56" s="13"/>
      <c r="DO56" s="14"/>
      <c r="DQ56" s="65"/>
      <c r="DR56" s="13"/>
      <c r="DS56" s="14"/>
      <c r="DU56" s="65">
        <f t="shared" si="109"/>
        <v>44</v>
      </c>
      <c r="DV56" s="13">
        <f t="shared" si="26"/>
        <v>2333557.0935022058</v>
      </c>
      <c r="DW56" s="14">
        <v>43058</v>
      </c>
      <c r="DY56" s="65">
        <f t="shared" si="110"/>
        <v>55</v>
      </c>
      <c r="DZ56" s="13">
        <f t="shared" si="27"/>
        <v>793189.76071129169</v>
      </c>
      <c r="EA56" s="14">
        <v>43061</v>
      </c>
      <c r="EC56" s="65"/>
      <c r="ED56" s="13"/>
      <c r="EE56" s="14"/>
      <c r="EG56" s="65"/>
      <c r="EH56" s="13"/>
      <c r="EI56" s="14"/>
      <c r="EK56" s="65"/>
      <c r="EL56" s="13"/>
      <c r="EM56" s="14"/>
      <c r="EO56" s="65">
        <f t="shared" si="114"/>
        <v>29</v>
      </c>
      <c r="EP56" s="13">
        <f t="shared" si="31"/>
        <v>1281516.8796468608</v>
      </c>
      <c r="EQ56" s="14">
        <v>43073</v>
      </c>
      <c r="ES56" s="65"/>
      <c r="ET56" s="13"/>
      <c r="EU56" s="14"/>
      <c r="EW56" s="65"/>
      <c r="EX56" s="13"/>
      <c r="EY56" s="14"/>
      <c r="FA56" s="65">
        <f t="shared" si="117"/>
        <v>28</v>
      </c>
      <c r="FB56" s="13">
        <f t="shared" si="34"/>
        <v>1261094.9849840759</v>
      </c>
      <c r="FC56" s="14">
        <v>43080</v>
      </c>
      <c r="FE56" s="65">
        <f t="shared" si="118"/>
        <v>23</v>
      </c>
      <c r="FF56" s="13">
        <f t="shared" si="35"/>
        <v>3156632.7278044759</v>
      </c>
      <c r="FG56" s="14">
        <v>43080</v>
      </c>
      <c r="FI56" s="65">
        <f t="shared" si="119"/>
        <v>20</v>
      </c>
      <c r="FJ56" s="13">
        <f t="shared" si="36"/>
        <v>1743454.989784345</v>
      </c>
      <c r="FK56" s="14">
        <v>43082</v>
      </c>
      <c r="FM56" s="65"/>
      <c r="FN56" s="13"/>
      <c r="FO56" s="14"/>
      <c r="FQ56" s="65"/>
      <c r="FR56" s="13"/>
      <c r="FS56" s="14"/>
      <c r="FU56" s="65"/>
      <c r="FV56" s="13"/>
      <c r="FW56" s="14"/>
      <c r="FY56" s="65"/>
      <c r="FZ56" s="13"/>
      <c r="GA56" s="14"/>
      <c r="GC56" s="65"/>
      <c r="GD56" s="13"/>
      <c r="GE56" s="14"/>
      <c r="GG56" s="65"/>
      <c r="GH56" s="13"/>
      <c r="GI56" s="14"/>
      <c r="GK56" s="65"/>
      <c r="GL56" s="13"/>
      <c r="GM56" s="14"/>
      <c r="GO56" s="65"/>
      <c r="GP56" s="13"/>
      <c r="GQ56" s="14"/>
      <c r="GS56" s="65"/>
      <c r="GT56" s="13"/>
      <c r="GU56" s="14"/>
      <c r="GW56" s="65"/>
      <c r="GX56" s="13"/>
      <c r="GY56" s="14"/>
      <c r="HA56" s="65"/>
      <c r="HB56" s="13"/>
      <c r="HC56" s="14"/>
      <c r="HE56" s="65"/>
      <c r="HF56" s="13"/>
      <c r="HG56" s="14"/>
      <c r="HI56" s="65"/>
      <c r="HJ56" s="13"/>
      <c r="HK56" s="14"/>
      <c r="HM56" s="65"/>
      <c r="HN56" s="13"/>
      <c r="HO56" s="14"/>
      <c r="HQ56" s="65"/>
      <c r="HR56" s="13"/>
      <c r="HS56" s="14"/>
      <c r="HU56" s="65"/>
      <c r="HV56" s="13"/>
      <c r="HW56" s="14"/>
      <c r="HY56" s="65"/>
      <c r="HZ56" s="13"/>
      <c r="IA56" s="14"/>
      <c r="IC56" s="65"/>
      <c r="ID56" s="13"/>
      <c r="IE56" s="14"/>
      <c r="IG56" s="65"/>
      <c r="IH56" s="13"/>
      <c r="II56" s="14"/>
      <c r="IK56" s="65"/>
      <c r="IL56" s="13"/>
      <c r="IM56" s="14"/>
      <c r="IO56" s="65"/>
      <c r="IP56" s="13"/>
      <c r="IQ56" s="14"/>
      <c r="IS56" s="65"/>
      <c r="IT56" s="13"/>
      <c r="IU56" s="14"/>
      <c r="IW56" s="65"/>
      <c r="IX56" s="13"/>
      <c r="IY56" s="14"/>
      <c r="JA56" s="65">
        <f t="shared" si="143"/>
        <v>10</v>
      </c>
      <c r="JB56" s="13">
        <f t="shared" si="60"/>
        <v>988234.70229189249</v>
      </c>
      <c r="JC56" s="14">
        <v>43156</v>
      </c>
      <c r="JE56" s="65"/>
      <c r="JF56" s="13"/>
      <c r="JG56" s="14"/>
      <c r="JI56" s="65"/>
      <c r="JJ56" s="13"/>
      <c r="JK56" s="14"/>
      <c r="JM56" s="65"/>
      <c r="JN56" s="13"/>
      <c r="JO56" s="14"/>
      <c r="JQ56" s="65"/>
      <c r="JR56" s="13"/>
      <c r="JS56" s="14"/>
      <c r="JU56" s="65">
        <f t="shared" si="148"/>
        <v>15</v>
      </c>
      <c r="JV56" s="13">
        <f t="shared" si="65"/>
        <v>1653950.3401052598</v>
      </c>
      <c r="JW56" s="14">
        <v>43178</v>
      </c>
      <c r="JY56" s="65"/>
      <c r="JZ56" s="13"/>
      <c r="KA56" s="14"/>
      <c r="KC56" s="65"/>
      <c r="KD56" s="13"/>
      <c r="KE56" s="14"/>
      <c r="KG56" s="65"/>
      <c r="KH56" s="13"/>
      <c r="KI56" s="14"/>
      <c r="KK56" s="65"/>
      <c r="KL56" s="13"/>
      <c r="KM56" s="14"/>
      <c r="KO56" s="65"/>
      <c r="KP56" s="13"/>
      <c r="KQ56" s="14"/>
      <c r="KS56" s="65">
        <f t="shared" si="154"/>
        <v>3</v>
      </c>
      <c r="KT56" s="13">
        <f t="shared" si="71"/>
        <v>3311826.8817410357</v>
      </c>
      <c r="KU56" s="14">
        <v>43219</v>
      </c>
      <c r="KW56" s="65"/>
      <c r="KX56" s="13"/>
      <c r="KY56" s="14"/>
      <c r="LA56" s="65">
        <f t="shared" si="156"/>
        <v>31</v>
      </c>
      <c r="LB56" s="13">
        <f t="shared" si="73"/>
        <v>2636178.9456843236</v>
      </c>
      <c r="LC56" s="14">
        <v>43233</v>
      </c>
      <c r="LE56" s="65"/>
      <c r="LF56" s="13"/>
      <c r="LG56" s="14"/>
      <c r="LI56" s="65"/>
      <c r="LJ56" s="13"/>
      <c r="LK56" s="14"/>
      <c r="LM56" s="65">
        <f t="shared" si="159"/>
        <v>19</v>
      </c>
      <c r="LN56" s="13">
        <f t="shared" si="76"/>
        <v>745168.41832754319</v>
      </c>
      <c r="LO56" s="14">
        <v>43243</v>
      </c>
      <c r="LQ56" s="65"/>
      <c r="LR56" s="13"/>
      <c r="LS56" s="14"/>
      <c r="LU56" s="65"/>
      <c r="LV56" s="13"/>
      <c r="LW56" s="14"/>
      <c r="LY56" s="65"/>
      <c r="LZ56" s="13"/>
      <c r="MA56" s="14"/>
      <c r="MC56" s="65"/>
      <c r="MD56" s="13"/>
      <c r="ME56" s="14"/>
      <c r="MG56" s="65"/>
      <c r="MH56" s="13"/>
      <c r="MI56" s="14"/>
      <c r="MK56" s="65"/>
      <c r="ML56" s="13"/>
      <c r="MM56" s="14"/>
      <c r="MO56" s="65"/>
      <c r="MP56" s="13"/>
      <c r="MQ56" s="14"/>
      <c r="MS56" s="65"/>
      <c r="MT56" s="13"/>
      <c r="MU56" s="14"/>
    </row>
    <row r="57" spans="1:359" x14ac:dyDescent="0.25">
      <c r="A57" s="15">
        <f t="shared" si="1"/>
        <v>732719.40198164852</v>
      </c>
      <c r="B57" s="20">
        <v>42751</v>
      </c>
      <c r="D57" s="12">
        <v>119</v>
      </c>
      <c r="E57" s="17">
        <v>1140924.0065594018</v>
      </c>
      <c r="F57" s="14">
        <v>42481</v>
      </c>
      <c r="I57" s="12"/>
      <c r="J57" s="13"/>
      <c r="K57" s="14"/>
      <c r="N57" s="12">
        <f t="shared" si="85"/>
        <v>49</v>
      </c>
      <c r="O57" s="13">
        <f t="shared" si="2"/>
        <v>732719.40198164852</v>
      </c>
      <c r="P57" s="14">
        <v>42751</v>
      </c>
      <c r="T57" s="15"/>
      <c r="U57" s="20"/>
      <c r="W57" s="12"/>
      <c r="X57" s="17"/>
      <c r="Y57" s="14"/>
      <c r="AB57" s="12"/>
      <c r="AC57" s="13"/>
      <c r="AD57" s="14"/>
      <c r="AG57" s="12"/>
      <c r="AH57" s="13"/>
      <c r="AI57" s="14"/>
      <c r="AK57" s="12"/>
      <c r="AL57" s="13"/>
      <c r="AM57" s="14"/>
      <c r="BM57" s="65">
        <f t="shared" si="94"/>
        <v>3</v>
      </c>
      <c r="BN57" s="13">
        <f t="shared" si="11"/>
        <v>1866912.2268879039</v>
      </c>
      <c r="BO57" s="14">
        <v>43017</v>
      </c>
      <c r="BQ57" s="65">
        <f t="shared" si="95"/>
        <v>8</v>
      </c>
      <c r="BR57" s="13">
        <f t="shared" si="12"/>
        <v>4300401.5142168785</v>
      </c>
      <c r="BS57" s="14">
        <v>43024</v>
      </c>
      <c r="BU57" s="65"/>
      <c r="BV57" s="13"/>
      <c r="BW57" s="14">
        <v>43033</v>
      </c>
      <c r="BY57" s="65"/>
      <c r="BZ57" s="13"/>
      <c r="CA57" s="14">
        <v>43033</v>
      </c>
      <c r="CC57" s="65"/>
      <c r="CD57" s="13"/>
      <c r="CE57" s="14">
        <v>43034</v>
      </c>
      <c r="CG57" s="65"/>
      <c r="CH57" s="13"/>
      <c r="CI57" s="14"/>
      <c r="CK57" s="65">
        <f t="shared" si="100"/>
        <v>17</v>
      </c>
      <c r="CL57" s="13">
        <f t="shared" si="17"/>
        <v>801834.83244936366</v>
      </c>
      <c r="CM57" s="14">
        <v>43038</v>
      </c>
      <c r="CO57" s="65"/>
      <c r="CP57" s="13"/>
      <c r="CQ57" s="14"/>
      <c r="CS57" s="65"/>
      <c r="CT57" s="13"/>
      <c r="CU57" s="14"/>
      <c r="CW57" s="65"/>
      <c r="CX57" s="13"/>
      <c r="CY57" s="14"/>
      <c r="DA57" s="65"/>
      <c r="DB57" s="13"/>
      <c r="DC57" s="14"/>
      <c r="DE57" s="65"/>
      <c r="DF57" s="13"/>
      <c r="DG57" s="14"/>
      <c r="DI57" s="65"/>
      <c r="DJ57" s="13"/>
      <c r="DK57" s="14"/>
      <c r="DM57" s="65"/>
      <c r="DN57" s="13"/>
      <c r="DO57" s="14"/>
      <c r="DQ57" s="65"/>
      <c r="DR57" s="13"/>
      <c r="DS57" s="14"/>
      <c r="DU57" s="65">
        <f t="shared" si="109"/>
        <v>43</v>
      </c>
      <c r="DV57" s="13">
        <f t="shared" si="26"/>
        <v>2333672.2383855404</v>
      </c>
      <c r="DW57" s="14">
        <v>43059</v>
      </c>
      <c r="DY57" s="65">
        <f t="shared" si="110"/>
        <v>54</v>
      </c>
      <c r="DZ57" s="13">
        <f t="shared" si="27"/>
        <v>793231.313785495</v>
      </c>
      <c r="EA57" s="14">
        <v>43062</v>
      </c>
      <c r="EC57" s="65"/>
      <c r="ED57" s="13"/>
      <c r="EE57" s="14"/>
      <c r="EG57" s="65"/>
      <c r="EH57" s="13"/>
      <c r="EI57" s="14"/>
      <c r="EK57" s="65"/>
      <c r="EL57" s="13"/>
      <c r="EM57" s="14"/>
      <c r="EO57" s="65">
        <f t="shared" si="114"/>
        <v>28</v>
      </c>
      <c r="EP57" s="13">
        <f t="shared" si="31"/>
        <v>1281591.9346240554</v>
      </c>
      <c r="EQ57" s="14">
        <v>43074</v>
      </c>
      <c r="ES57" s="65"/>
      <c r="ET57" s="13"/>
      <c r="EU57" s="14"/>
      <c r="EW57" s="65"/>
      <c r="EX57" s="13"/>
      <c r="EY57" s="14"/>
      <c r="FA57" s="65">
        <f t="shared" si="117"/>
        <v>27</v>
      </c>
      <c r="FB57" s="13">
        <f t="shared" si="34"/>
        <v>1261170.2011440641</v>
      </c>
      <c r="FC57" s="14">
        <v>43081</v>
      </c>
      <c r="FE57" s="65">
        <f t="shared" si="118"/>
        <v>22</v>
      </c>
      <c r="FF57" s="13">
        <f t="shared" si="35"/>
        <v>3156809.6125282384</v>
      </c>
      <c r="FG57" s="14">
        <v>43081</v>
      </c>
      <c r="FI57" s="65">
        <f t="shared" si="119"/>
        <v>19</v>
      </c>
      <c r="FJ57" s="13">
        <f t="shared" si="36"/>
        <v>1743561.5376809407</v>
      </c>
      <c r="FK57" s="14">
        <v>43083</v>
      </c>
      <c r="FM57" s="65"/>
      <c r="FN57" s="13"/>
      <c r="FO57" s="14"/>
      <c r="FQ57" s="65"/>
      <c r="FR57" s="13"/>
      <c r="FS57" s="14"/>
      <c r="FU57" s="65"/>
      <c r="FV57" s="13"/>
      <c r="FW57" s="14"/>
      <c r="FY57" s="65"/>
      <c r="FZ57" s="13"/>
      <c r="GA57" s="14"/>
      <c r="GC57" s="65"/>
      <c r="GD57" s="13"/>
      <c r="GE57" s="14"/>
      <c r="GG57" s="65"/>
      <c r="GH57" s="13"/>
      <c r="GI57" s="14"/>
      <c r="GK57" s="65"/>
      <c r="GL57" s="13"/>
      <c r="GM57" s="14"/>
      <c r="GO57" s="65"/>
      <c r="GP57" s="13"/>
      <c r="GQ57" s="14"/>
      <c r="GS57" s="65"/>
      <c r="GT57" s="13"/>
      <c r="GU57" s="14"/>
      <c r="GW57" s="65"/>
      <c r="GX57" s="13"/>
      <c r="GY57" s="14"/>
      <c r="HA57" s="65"/>
      <c r="HB57" s="13"/>
      <c r="HC57" s="14"/>
      <c r="HE57" s="65"/>
      <c r="HF57" s="13"/>
      <c r="HG57" s="14"/>
      <c r="HI57" s="65"/>
      <c r="HJ57" s="13"/>
      <c r="HK57" s="14"/>
      <c r="HM57" s="65"/>
      <c r="HN57" s="13"/>
      <c r="HO57" s="14"/>
      <c r="HQ57" s="65"/>
      <c r="HR57" s="13"/>
      <c r="HS57" s="14"/>
      <c r="HU57" s="65"/>
      <c r="HV57" s="13"/>
      <c r="HW57" s="14"/>
      <c r="HY57" s="65"/>
      <c r="HZ57" s="13"/>
      <c r="IA57" s="14"/>
      <c r="IC57" s="65"/>
      <c r="ID57" s="13"/>
      <c r="IE57" s="14"/>
      <c r="IG57" s="65"/>
      <c r="IH57" s="13"/>
      <c r="II57" s="14"/>
      <c r="IK57" s="65"/>
      <c r="IL57" s="13"/>
      <c r="IM57" s="14"/>
      <c r="IO57" s="65"/>
      <c r="IP57" s="13"/>
      <c r="IQ57" s="14"/>
      <c r="IS57" s="65"/>
      <c r="IT57" s="13"/>
      <c r="IU57" s="14"/>
      <c r="IW57" s="65"/>
      <c r="IX57" s="13"/>
      <c r="IY57" s="14"/>
      <c r="JA57" s="65">
        <f t="shared" si="143"/>
        <v>9</v>
      </c>
      <c r="JB57" s="13">
        <f t="shared" si="60"/>
        <v>988287.31506776833</v>
      </c>
      <c r="JC57" s="14">
        <v>43157</v>
      </c>
      <c r="JE57" s="65"/>
      <c r="JF57" s="13"/>
      <c r="JG57" s="14"/>
      <c r="JI57" s="65"/>
      <c r="JJ57" s="13"/>
      <c r="JK57" s="14"/>
      <c r="JM57" s="65"/>
      <c r="JN57" s="13"/>
      <c r="JO57" s="14"/>
      <c r="JQ57" s="65"/>
      <c r="JR57" s="13"/>
      <c r="JS57" s="14"/>
      <c r="JU57" s="65">
        <f t="shared" si="148"/>
        <v>14</v>
      </c>
      <c r="JV57" s="13">
        <f t="shared" si="65"/>
        <v>1654053.0340976554</v>
      </c>
      <c r="JW57" s="14">
        <v>43179</v>
      </c>
      <c r="JY57" s="65"/>
      <c r="JZ57" s="13"/>
      <c r="KA57" s="14"/>
      <c r="KC57" s="65"/>
      <c r="KD57" s="13"/>
      <c r="KE57" s="14"/>
      <c r="KG57" s="65"/>
      <c r="KH57" s="13"/>
      <c r="KI57" s="14"/>
      <c r="KK57" s="65"/>
      <c r="KL57" s="13"/>
      <c r="KM57" s="14"/>
      <c r="KO57" s="65"/>
      <c r="KP57" s="13"/>
      <c r="KQ57" s="14"/>
      <c r="KS57" s="65">
        <f t="shared" si="154"/>
        <v>2</v>
      </c>
      <c r="KT57" s="13">
        <f t="shared" si="71"/>
        <v>3312039.4945386001</v>
      </c>
      <c r="KU57" s="14">
        <v>43220</v>
      </c>
      <c r="KW57" s="65"/>
      <c r="KX57" s="13"/>
      <c r="KY57" s="14"/>
      <c r="LA57" s="65">
        <f t="shared" si="156"/>
        <v>30</v>
      </c>
      <c r="LB57" s="13">
        <f t="shared" si="73"/>
        <v>2636380.5889572981</v>
      </c>
      <c r="LC57" s="14">
        <v>43234</v>
      </c>
      <c r="LE57" s="65"/>
      <c r="LF57" s="13"/>
      <c r="LG57" s="14"/>
      <c r="LI57" s="65"/>
      <c r="LJ57" s="13"/>
      <c r="LK57" s="14"/>
      <c r="LM57" s="65">
        <f t="shared" si="159"/>
        <v>18</v>
      </c>
      <c r="LN57" s="13">
        <f t="shared" si="76"/>
        <v>745221.69805718679</v>
      </c>
      <c r="LO57" s="14">
        <v>43244</v>
      </c>
      <c r="LQ57" s="65"/>
      <c r="LR57" s="13"/>
      <c r="LS57" s="14"/>
      <c r="LU57" s="65"/>
      <c r="LV57" s="13"/>
      <c r="LW57" s="14"/>
      <c r="LY57" s="65"/>
      <c r="LZ57" s="13"/>
      <c r="MA57" s="14"/>
      <c r="MC57" s="65"/>
      <c r="MD57" s="13"/>
      <c r="ME57" s="14"/>
      <c r="MG57" s="65"/>
      <c r="MH57" s="13"/>
      <c r="MI57" s="14"/>
      <c r="MK57" s="65"/>
      <c r="ML57" s="13"/>
      <c r="MM57" s="14"/>
      <c r="MO57" s="65"/>
      <c r="MP57" s="13"/>
      <c r="MQ57" s="14"/>
      <c r="MS57" s="65"/>
      <c r="MT57" s="13"/>
      <c r="MU57" s="14"/>
    </row>
    <row r="58" spans="1:359" x14ac:dyDescent="0.25">
      <c r="A58" s="15">
        <f t="shared" si="1"/>
        <v>732748.75539466762</v>
      </c>
      <c r="B58" s="20">
        <v>42752</v>
      </c>
      <c r="D58" s="12">
        <v>118</v>
      </c>
      <c r="E58" s="17">
        <v>1140951.163292089</v>
      </c>
      <c r="F58" s="14">
        <v>42482</v>
      </c>
      <c r="I58" s="12"/>
      <c r="J58" s="13"/>
      <c r="K58" s="14"/>
      <c r="N58" s="12">
        <f t="shared" si="85"/>
        <v>48</v>
      </c>
      <c r="O58" s="13">
        <f t="shared" si="2"/>
        <v>732748.75539466762</v>
      </c>
      <c r="P58" s="14">
        <v>42752</v>
      </c>
      <c r="T58" s="15"/>
      <c r="U58" s="20"/>
      <c r="W58" s="12"/>
      <c r="X58" s="17"/>
      <c r="Y58" s="14"/>
      <c r="AB58" s="12"/>
      <c r="AC58" s="13"/>
      <c r="AD58" s="14"/>
      <c r="AG58" s="12"/>
      <c r="AH58" s="13"/>
      <c r="AI58" s="14"/>
      <c r="AK58" s="12"/>
      <c r="AL58" s="13"/>
      <c r="AM58" s="14"/>
      <c r="BM58" s="65">
        <f t="shared" si="94"/>
        <v>2</v>
      </c>
      <c r="BN58" s="13">
        <f t="shared" si="11"/>
        <v>1867011.5515646928</v>
      </c>
      <c r="BO58" s="14">
        <v>43018</v>
      </c>
      <c r="BQ58" s="65">
        <f t="shared" si="95"/>
        <v>7</v>
      </c>
      <c r="BR58" s="13">
        <f t="shared" si="12"/>
        <v>4300702.3017356042</v>
      </c>
      <c r="BS58" s="14">
        <v>43025</v>
      </c>
      <c r="BU58" s="65"/>
      <c r="BV58" s="13"/>
      <c r="BW58" s="14">
        <v>43034</v>
      </c>
      <c r="BY58" s="65"/>
      <c r="BZ58" s="13"/>
      <c r="CA58" s="14">
        <v>43034</v>
      </c>
      <c r="CC58" s="65"/>
      <c r="CD58" s="13"/>
      <c r="CE58" s="14">
        <v>43035</v>
      </c>
      <c r="CG58" s="65"/>
      <c r="CH58" s="13"/>
      <c r="CI58" s="14"/>
      <c r="CK58" s="65">
        <f t="shared" si="100"/>
        <v>16</v>
      </c>
      <c r="CL58" s="13">
        <f t="shared" si="17"/>
        <v>801872.6406099943</v>
      </c>
      <c r="CM58" s="14">
        <v>43039</v>
      </c>
      <c r="CO58" s="65"/>
      <c r="CP58" s="13"/>
      <c r="CQ58" s="14"/>
      <c r="CS58" s="65"/>
      <c r="CT58" s="13"/>
      <c r="CU58" s="14"/>
      <c r="CW58" s="65"/>
      <c r="CX58" s="13"/>
      <c r="CY58" s="14"/>
      <c r="DA58" s="65"/>
      <c r="DB58" s="13"/>
      <c r="DC58" s="14"/>
      <c r="DE58" s="65"/>
      <c r="DF58" s="13"/>
      <c r="DG58" s="14"/>
      <c r="DI58" s="65"/>
      <c r="DJ58" s="13"/>
      <c r="DK58" s="14"/>
      <c r="DM58" s="65"/>
      <c r="DN58" s="13"/>
      <c r="DO58" s="14"/>
      <c r="DQ58" s="65"/>
      <c r="DR58" s="13"/>
      <c r="DS58" s="14"/>
      <c r="DU58" s="65">
        <f t="shared" si="109"/>
        <v>42</v>
      </c>
      <c r="DV58" s="13">
        <f t="shared" si="26"/>
        <v>2333787.3946326408</v>
      </c>
      <c r="DW58" s="14">
        <v>43060</v>
      </c>
      <c r="DY58" s="65">
        <f t="shared" si="110"/>
        <v>53</v>
      </c>
      <c r="DZ58" s="13">
        <f t="shared" si="27"/>
        <v>793272.87121363345</v>
      </c>
      <c r="EA58" s="14">
        <v>43063</v>
      </c>
      <c r="EC58" s="65"/>
      <c r="ED58" s="13"/>
      <c r="EE58" s="14"/>
      <c r="EG58" s="65"/>
      <c r="EH58" s="13"/>
      <c r="EI58" s="14"/>
      <c r="EK58" s="65"/>
      <c r="EL58" s="13"/>
      <c r="EM58" s="14"/>
      <c r="EO58" s="65">
        <f t="shared" si="114"/>
        <v>27</v>
      </c>
      <c r="EP58" s="13">
        <f t="shared" si="31"/>
        <v>1281666.9983932991</v>
      </c>
      <c r="EQ58" s="14">
        <v>43075</v>
      </c>
      <c r="ES58" s="65"/>
      <c r="ET58" s="13"/>
      <c r="EU58" s="14"/>
      <c r="EW58" s="65"/>
      <c r="EX58" s="13"/>
      <c r="EY58" s="14"/>
      <c r="FA58" s="65">
        <f t="shared" si="117"/>
        <v>26</v>
      </c>
      <c r="FB58" s="13">
        <f t="shared" si="34"/>
        <v>1261245.4262769022</v>
      </c>
      <c r="FC58" s="14">
        <v>43082</v>
      </c>
      <c r="FE58" s="65">
        <f t="shared" si="118"/>
        <v>21</v>
      </c>
      <c r="FF58" s="13">
        <f t="shared" si="35"/>
        <v>3156986.517076897</v>
      </c>
      <c r="FG58" s="14">
        <v>43082</v>
      </c>
      <c r="FI58" s="65">
        <f t="shared" si="119"/>
        <v>18</v>
      </c>
      <c r="FJ58" s="13">
        <f t="shared" si="36"/>
        <v>1743668.0986012716</v>
      </c>
      <c r="FK58" s="14">
        <v>43084</v>
      </c>
      <c r="FM58" s="65"/>
      <c r="FN58" s="13"/>
      <c r="FO58" s="14"/>
      <c r="FQ58" s="65"/>
      <c r="FR58" s="13"/>
      <c r="FS58" s="14"/>
      <c r="FU58" s="65"/>
      <c r="FV58" s="13"/>
      <c r="FW58" s="14"/>
      <c r="FY58" s="65"/>
      <c r="FZ58" s="13"/>
      <c r="GA58" s="14"/>
      <c r="GC58" s="65"/>
      <c r="GD58" s="13"/>
      <c r="GE58" s="14"/>
      <c r="GG58" s="65"/>
      <c r="GH58" s="13"/>
      <c r="GI58" s="14"/>
      <c r="GK58" s="65"/>
      <c r="GL58" s="13"/>
      <c r="GM58" s="14"/>
      <c r="GO58" s="65"/>
      <c r="GP58" s="13"/>
      <c r="GQ58" s="14"/>
      <c r="GS58" s="65"/>
      <c r="GT58" s="13"/>
      <c r="GU58" s="14"/>
      <c r="GW58" s="65"/>
      <c r="GX58" s="13"/>
      <c r="GY58" s="14"/>
      <c r="HA58" s="65"/>
      <c r="HB58" s="13"/>
      <c r="HC58" s="14"/>
      <c r="HE58" s="65"/>
      <c r="HF58" s="13"/>
      <c r="HG58" s="14"/>
      <c r="HI58" s="65"/>
      <c r="HJ58" s="13"/>
      <c r="HK58" s="14"/>
      <c r="HM58" s="65"/>
      <c r="HN58" s="13"/>
      <c r="HO58" s="14"/>
      <c r="HQ58" s="65"/>
      <c r="HR58" s="13"/>
      <c r="HS58" s="14"/>
      <c r="HU58" s="65"/>
      <c r="HV58" s="13"/>
      <c r="HW58" s="14"/>
      <c r="HY58" s="65"/>
      <c r="HZ58" s="13"/>
      <c r="IA58" s="14"/>
      <c r="IC58" s="65"/>
      <c r="ID58" s="13"/>
      <c r="IE58" s="14"/>
      <c r="IG58" s="65"/>
      <c r="IH58" s="13"/>
      <c r="II58" s="14"/>
      <c r="IK58" s="65"/>
      <c r="IL58" s="13"/>
      <c r="IM58" s="14"/>
      <c r="IO58" s="65"/>
      <c r="IP58" s="13"/>
      <c r="IQ58" s="14"/>
      <c r="IS58" s="65"/>
      <c r="IT58" s="13"/>
      <c r="IU58" s="14"/>
      <c r="IW58" s="65"/>
      <c r="IX58" s="13"/>
      <c r="IY58" s="14"/>
      <c r="JA58" s="65">
        <f t="shared" si="143"/>
        <v>8</v>
      </c>
      <c r="JB58" s="13">
        <f t="shared" si="60"/>
        <v>988339.93344606145</v>
      </c>
      <c r="JC58" s="14">
        <v>43158</v>
      </c>
      <c r="JE58" s="65"/>
      <c r="JF58" s="13"/>
      <c r="JG58" s="14"/>
      <c r="JI58" s="65"/>
      <c r="JJ58" s="13"/>
      <c r="JK58" s="14"/>
      <c r="JM58" s="65"/>
      <c r="JN58" s="13"/>
      <c r="JO58" s="14"/>
      <c r="JQ58" s="65"/>
      <c r="JR58" s="13"/>
      <c r="JS58" s="14"/>
      <c r="JU58" s="65">
        <f t="shared" si="148"/>
        <v>13</v>
      </c>
      <c r="JV58" s="13">
        <f t="shared" si="65"/>
        <v>1654155.7408434104</v>
      </c>
      <c r="JW58" s="14">
        <v>43180</v>
      </c>
      <c r="JY58" s="65"/>
      <c r="JZ58" s="13"/>
      <c r="KA58" s="14"/>
      <c r="KC58" s="65"/>
      <c r="KD58" s="13"/>
      <c r="KE58" s="14"/>
      <c r="KG58" s="65"/>
      <c r="KH58" s="13"/>
      <c r="KI58" s="14"/>
      <c r="KK58" s="65"/>
      <c r="KL58" s="13"/>
      <c r="KM58" s="14"/>
      <c r="KO58" s="65"/>
      <c r="KP58" s="13"/>
      <c r="KQ58" s="14"/>
      <c r="KS58" s="65">
        <f t="shared" si="154"/>
        <v>1</v>
      </c>
      <c r="KT58" s="13">
        <f t="shared" si="71"/>
        <v>3312252.134636567</v>
      </c>
      <c r="KU58" s="14">
        <v>43221</v>
      </c>
      <c r="KW58" s="65"/>
      <c r="KX58" s="13"/>
      <c r="KY58" s="14"/>
      <c r="LA58" s="65">
        <f t="shared" si="156"/>
        <v>29</v>
      </c>
      <c r="LB58" s="13">
        <f t="shared" si="73"/>
        <v>2636582.263080318</v>
      </c>
      <c r="LC58" s="14">
        <v>43235</v>
      </c>
      <c r="LE58" s="65"/>
      <c r="LF58" s="13"/>
      <c r="LG58" s="14"/>
      <c r="LI58" s="65"/>
      <c r="LJ58" s="13"/>
      <c r="LK58" s="14"/>
      <c r="LM58" s="65">
        <f t="shared" si="159"/>
        <v>17</v>
      </c>
      <c r="LN58" s="13">
        <f t="shared" si="76"/>
        <v>745274.98540640331</v>
      </c>
      <c r="LO58" s="14">
        <v>43245</v>
      </c>
      <c r="LQ58" s="65"/>
      <c r="LR58" s="13"/>
      <c r="LS58" s="14"/>
      <c r="LU58" s="65"/>
      <c r="LV58" s="13"/>
      <c r="LW58" s="14"/>
      <c r="LY58" s="65"/>
      <c r="LZ58" s="13"/>
      <c r="MA58" s="14"/>
      <c r="MC58" s="65"/>
      <c r="MD58" s="13"/>
      <c r="ME58" s="14"/>
      <c r="MG58" s="65"/>
      <c r="MH58" s="13"/>
      <c r="MI58" s="14"/>
      <c r="MK58" s="65"/>
      <c r="ML58" s="13"/>
      <c r="MM58" s="14"/>
      <c r="MO58" s="65"/>
      <c r="MP58" s="13"/>
      <c r="MQ58" s="14"/>
      <c r="MS58" s="65"/>
      <c r="MT58" s="13"/>
      <c r="MU58" s="14"/>
    </row>
    <row r="59" spans="1:359" x14ac:dyDescent="0.25">
      <c r="A59" s="15">
        <f t="shared" si="1"/>
        <v>732778.11115963035</v>
      </c>
      <c r="B59" s="20">
        <v>42753</v>
      </c>
      <c r="D59" s="12">
        <v>117</v>
      </c>
      <c r="E59" s="17">
        <v>1140978.3213175985</v>
      </c>
      <c r="F59" s="14">
        <v>42483</v>
      </c>
      <c r="I59" s="12"/>
      <c r="J59" s="13"/>
      <c r="K59" s="14"/>
      <c r="N59" s="12">
        <f t="shared" si="85"/>
        <v>47</v>
      </c>
      <c r="O59" s="13">
        <f>($Q$2/(1+$Q$4*N59/360))</f>
        <v>732778.11115963035</v>
      </c>
      <c r="P59" s="14">
        <v>42753</v>
      </c>
      <c r="T59" s="15"/>
      <c r="U59" s="20"/>
      <c r="W59" s="12"/>
      <c r="X59" s="17"/>
      <c r="Y59" s="14"/>
      <c r="AB59" s="12"/>
      <c r="AC59" s="13"/>
      <c r="AD59" s="14"/>
      <c r="AG59" s="12"/>
      <c r="AH59" s="13"/>
      <c r="AI59" s="14"/>
      <c r="AK59" s="12"/>
      <c r="AL59" s="13"/>
      <c r="AM59" s="14"/>
      <c r="BM59" s="65">
        <f t="shared" si="94"/>
        <v>1</v>
      </c>
      <c r="BN59" s="13">
        <f t="shared" si="11"/>
        <v>1867110.8868107158</v>
      </c>
      <c r="BO59" s="14">
        <v>43019</v>
      </c>
      <c r="BQ59" s="65">
        <f t="shared" si="95"/>
        <v>6</v>
      </c>
      <c r="BR59" s="13">
        <f t="shared" si="12"/>
        <v>4301003.1313338708</v>
      </c>
      <c r="BS59" s="14">
        <v>43026</v>
      </c>
      <c r="BU59" s="65"/>
      <c r="BV59" s="13"/>
      <c r="BW59" s="14">
        <v>43035</v>
      </c>
      <c r="BY59" s="65"/>
      <c r="BZ59" s="13"/>
      <c r="CA59" s="14">
        <v>43035</v>
      </c>
      <c r="CC59" s="65"/>
      <c r="CD59" s="13"/>
      <c r="CE59" s="14">
        <v>43036</v>
      </c>
      <c r="CG59" s="65"/>
      <c r="CH59" s="13"/>
      <c r="CI59" s="14"/>
      <c r="CK59" s="65">
        <f t="shared" si="100"/>
        <v>15</v>
      </c>
      <c r="CL59" s="13">
        <f t="shared" si="17"/>
        <v>801910.45233625825</v>
      </c>
      <c r="CM59" s="14">
        <v>43040</v>
      </c>
      <c r="CO59" s="65"/>
      <c r="CP59" s="13"/>
      <c r="CQ59" s="14"/>
      <c r="CS59" s="65"/>
      <c r="CT59" s="13"/>
      <c r="CU59" s="14"/>
      <c r="CW59" s="65"/>
      <c r="CX59" s="13"/>
      <c r="CY59" s="14"/>
      <c r="DA59" s="65"/>
      <c r="DB59" s="13"/>
      <c r="DC59" s="14"/>
      <c r="DE59" s="65"/>
      <c r="DF59" s="13"/>
      <c r="DG59" s="14"/>
      <c r="DI59" s="65"/>
      <c r="DJ59" s="13"/>
      <c r="DK59" s="14"/>
      <c r="DM59" s="65"/>
      <c r="DN59" s="13"/>
      <c r="DO59" s="14"/>
      <c r="DQ59" s="65"/>
      <c r="DR59" s="13"/>
      <c r="DS59" s="14"/>
      <c r="DU59" s="65">
        <f t="shared" si="109"/>
        <v>41</v>
      </c>
      <c r="DV59" s="13">
        <f t="shared" si="26"/>
        <v>2333902.5622451892</v>
      </c>
      <c r="DW59" s="14">
        <v>43061</v>
      </c>
      <c r="DY59" s="65">
        <f t="shared" si="110"/>
        <v>52</v>
      </c>
      <c r="DZ59" s="13">
        <f t="shared" si="27"/>
        <v>793314.43299639167</v>
      </c>
      <c r="EA59" s="14">
        <v>43064</v>
      </c>
      <c r="EC59" s="65"/>
      <c r="ED59" s="13"/>
      <c r="EE59" s="14"/>
      <c r="EG59" s="65"/>
      <c r="EH59" s="13"/>
      <c r="EI59" s="14"/>
      <c r="EK59" s="65"/>
      <c r="EL59" s="13"/>
      <c r="EM59" s="14"/>
      <c r="EO59" s="65">
        <f t="shared" si="114"/>
        <v>26</v>
      </c>
      <c r="EP59" s="13">
        <f t="shared" si="31"/>
        <v>1281742.0709561366</v>
      </c>
      <c r="EQ59" s="14">
        <v>43076</v>
      </c>
      <c r="ES59" s="65"/>
      <c r="ET59" s="13"/>
      <c r="EU59" s="14"/>
      <c r="EW59" s="65"/>
      <c r="EX59" s="13"/>
      <c r="EY59" s="14"/>
      <c r="FA59" s="65">
        <f t="shared" si="117"/>
        <v>25</v>
      </c>
      <c r="FB59" s="13">
        <f t="shared" si="34"/>
        <v>1261320.6603841968</v>
      </c>
      <c r="FC59" s="14">
        <v>43083</v>
      </c>
      <c r="FE59" s="65">
        <f t="shared" si="118"/>
        <v>20</v>
      </c>
      <c r="FF59" s="13">
        <f t="shared" si="35"/>
        <v>3157163.4414537861</v>
      </c>
      <c r="FG59" s="14">
        <v>43083</v>
      </c>
      <c r="FI59" s="65">
        <f t="shared" si="119"/>
        <v>17</v>
      </c>
      <c r="FJ59" s="13">
        <f t="shared" si="36"/>
        <v>1743774.6725477257</v>
      </c>
      <c r="FK59" s="14">
        <v>43085</v>
      </c>
      <c r="FM59" s="65"/>
      <c r="FN59" s="13"/>
      <c r="FO59" s="14"/>
      <c r="FQ59" s="65"/>
      <c r="FR59" s="13"/>
      <c r="FS59" s="14"/>
      <c r="FU59" s="65"/>
      <c r="FV59" s="13"/>
      <c r="FW59" s="14"/>
      <c r="FY59" s="65"/>
      <c r="FZ59" s="13"/>
      <c r="GA59" s="14"/>
      <c r="GC59" s="65"/>
      <c r="GD59" s="13"/>
      <c r="GE59" s="14"/>
      <c r="GG59" s="65"/>
      <c r="GH59" s="13"/>
      <c r="GI59" s="14"/>
      <c r="GK59" s="65"/>
      <c r="GL59" s="13"/>
      <c r="GM59" s="14"/>
      <c r="GO59" s="65"/>
      <c r="GP59" s="13"/>
      <c r="GQ59" s="14"/>
      <c r="GS59" s="65"/>
      <c r="GT59" s="13"/>
      <c r="GU59" s="14"/>
      <c r="GW59" s="65"/>
      <c r="GX59" s="13"/>
      <c r="GY59" s="14"/>
      <c r="HA59" s="65"/>
      <c r="HB59" s="13"/>
      <c r="HC59" s="14"/>
      <c r="HE59" s="65"/>
      <c r="HF59" s="13"/>
      <c r="HG59" s="14"/>
      <c r="HI59" s="65"/>
      <c r="HJ59" s="13"/>
      <c r="HK59" s="14"/>
      <c r="HM59" s="65"/>
      <c r="HN59" s="13"/>
      <c r="HO59" s="14"/>
      <c r="HQ59" s="65"/>
      <c r="HR59" s="13"/>
      <c r="HS59" s="14"/>
      <c r="HU59" s="65"/>
      <c r="HV59" s="13"/>
      <c r="HW59" s="14"/>
      <c r="HY59" s="65"/>
      <c r="HZ59" s="13"/>
      <c r="IA59" s="14"/>
      <c r="IC59" s="65"/>
      <c r="ID59" s="13"/>
      <c r="IE59" s="14"/>
      <c r="IG59" s="65"/>
      <c r="IH59" s="13"/>
      <c r="II59" s="14"/>
      <c r="IK59" s="65"/>
      <c r="IL59" s="13"/>
      <c r="IM59" s="14"/>
      <c r="IO59" s="65"/>
      <c r="IP59" s="13"/>
      <c r="IQ59" s="14"/>
      <c r="IS59" s="65"/>
      <c r="IT59" s="13"/>
      <c r="IU59" s="14"/>
      <c r="IW59" s="65"/>
      <c r="IX59" s="13"/>
      <c r="IY59" s="14"/>
      <c r="JA59" s="65">
        <f t="shared" si="143"/>
        <v>7</v>
      </c>
      <c r="JB59" s="13">
        <f t="shared" si="60"/>
        <v>988392.55742766662</v>
      </c>
      <c r="JC59" s="14">
        <v>43159</v>
      </c>
      <c r="JE59" s="65"/>
      <c r="JF59" s="13"/>
      <c r="JG59" s="14"/>
      <c r="JI59" s="65"/>
      <c r="JJ59" s="13"/>
      <c r="JK59" s="14"/>
      <c r="JM59" s="65"/>
      <c r="JN59" s="13"/>
      <c r="JO59" s="14"/>
      <c r="JQ59" s="65"/>
      <c r="JR59" s="13"/>
      <c r="JS59" s="14"/>
      <c r="JU59" s="65">
        <f t="shared" si="148"/>
        <v>12</v>
      </c>
      <c r="JV59" s="13">
        <f t="shared" si="65"/>
        <v>1654258.4603448992</v>
      </c>
      <c r="JW59" s="14">
        <v>43181</v>
      </c>
      <c r="JY59" s="65"/>
      <c r="JZ59" s="13"/>
      <c r="KA59" s="14"/>
      <c r="KC59" s="65"/>
      <c r="KD59" s="13"/>
      <c r="KE59" s="14"/>
      <c r="KG59" s="65"/>
      <c r="KH59" s="13"/>
      <c r="KI59" s="14"/>
      <c r="KK59" s="65"/>
      <c r="KL59" s="13"/>
      <c r="KM59" s="14"/>
      <c r="KO59" s="65"/>
      <c r="KP59" s="13"/>
      <c r="KQ59" s="14"/>
      <c r="KS59" s="65">
        <f t="shared" si="154"/>
        <v>0</v>
      </c>
      <c r="KT59" s="13">
        <f>($KU$2/(1+$KU$4*KS59/360))*0</f>
        <v>0</v>
      </c>
      <c r="KU59" s="14">
        <v>43222</v>
      </c>
      <c r="KW59" s="65"/>
      <c r="KX59" s="13"/>
      <c r="KY59" s="14"/>
      <c r="LA59" s="65">
        <f t="shared" si="156"/>
        <v>28</v>
      </c>
      <c r="LB59" s="13">
        <f t="shared" si="73"/>
        <v>2636783.9680604632</v>
      </c>
      <c r="LC59" s="14">
        <v>43236</v>
      </c>
      <c r="LE59" s="65"/>
      <c r="LF59" s="13"/>
      <c r="LG59" s="14"/>
      <c r="LI59" s="65"/>
      <c r="LJ59" s="13"/>
      <c r="LK59" s="14"/>
      <c r="LM59" s="65">
        <f t="shared" si="159"/>
        <v>16</v>
      </c>
      <c r="LN59" s="13">
        <f t="shared" si="76"/>
        <v>745328.28037682769</v>
      </c>
      <c r="LO59" s="14">
        <v>43246</v>
      </c>
      <c r="LQ59" s="65"/>
      <c r="LR59" s="13"/>
      <c r="LS59" s="14"/>
      <c r="LU59" s="65"/>
      <c r="LV59" s="13"/>
      <c r="LW59" s="14"/>
      <c r="LY59" s="65"/>
      <c r="LZ59" s="13"/>
      <c r="MA59" s="14"/>
      <c r="MC59" s="65"/>
      <c r="MD59" s="13"/>
      <c r="ME59" s="14"/>
      <c r="MG59" s="65"/>
      <c r="MH59" s="13"/>
      <c r="MI59" s="14"/>
      <c r="MK59" s="65"/>
      <c r="ML59" s="13"/>
      <c r="MM59" s="14"/>
      <c r="MO59" s="65"/>
      <c r="MP59" s="13"/>
      <c r="MQ59" s="14"/>
      <c r="MS59" s="65"/>
      <c r="MT59" s="13"/>
      <c r="MU59" s="14"/>
    </row>
    <row r="60" spans="1:359" x14ac:dyDescent="0.25">
      <c r="A60" s="15">
        <f t="shared" si="1"/>
        <v>732807.46927681938</v>
      </c>
      <c r="B60" s="20">
        <v>42754</v>
      </c>
      <c r="D60" s="12">
        <v>116</v>
      </c>
      <c r="E60" s="17">
        <v>1141005.4806360216</v>
      </c>
      <c r="F60" s="14">
        <v>42484</v>
      </c>
      <c r="I60" s="12"/>
      <c r="J60" s="13"/>
      <c r="K60" s="14"/>
      <c r="N60" s="12">
        <f t="shared" si="85"/>
        <v>46</v>
      </c>
      <c r="O60" s="13">
        <f t="shared" si="2"/>
        <v>732807.46927681938</v>
      </c>
      <c r="P60" s="14">
        <v>42754</v>
      </c>
      <c r="T60" s="15"/>
      <c r="U60" s="20"/>
      <c r="W60" s="12"/>
      <c r="X60" s="17"/>
      <c r="Y60" s="14"/>
      <c r="AB60" s="12"/>
      <c r="AC60" s="13"/>
      <c r="AD60" s="14"/>
      <c r="AG60" s="12"/>
      <c r="AH60" s="13"/>
      <c r="AI60" s="14"/>
      <c r="AK60" s="12"/>
      <c r="AL60" s="13"/>
      <c r="AM60" s="14"/>
      <c r="BM60" s="65">
        <f t="shared" si="94"/>
        <v>0</v>
      </c>
      <c r="BN60" s="13">
        <f>($BO$2/(1+$BO$4*BM60/360))*0</f>
        <v>0</v>
      </c>
      <c r="BO60" s="14">
        <v>43020</v>
      </c>
      <c r="BQ60" s="65">
        <f t="shared" si="95"/>
        <v>5</v>
      </c>
      <c r="BR60" s="13">
        <f t="shared" si="12"/>
        <v>4301304.0030205091</v>
      </c>
      <c r="BS60" s="14">
        <v>43027</v>
      </c>
      <c r="BU60" s="65"/>
      <c r="BV60" s="13"/>
      <c r="BW60" s="14">
        <v>43036</v>
      </c>
      <c r="BY60" s="65"/>
      <c r="BZ60" s="13"/>
      <c r="CA60" s="14">
        <v>43036</v>
      </c>
      <c r="CC60" s="65"/>
      <c r="CD60" s="13"/>
      <c r="CE60" s="14">
        <v>43037</v>
      </c>
      <c r="CG60" s="65"/>
      <c r="CH60" s="13"/>
      <c r="CI60" s="14"/>
      <c r="CK60" s="65">
        <f t="shared" si="100"/>
        <v>14</v>
      </c>
      <c r="CL60" s="13">
        <f t="shared" si="17"/>
        <v>801948.26762865949</v>
      </c>
      <c r="CM60" s="14">
        <v>43041</v>
      </c>
      <c r="CO60" s="65"/>
      <c r="CP60" s="13"/>
      <c r="CQ60" s="14"/>
      <c r="CS60" s="65"/>
      <c r="CT60" s="13"/>
      <c r="CU60" s="14"/>
      <c r="CW60" s="65"/>
      <c r="CX60" s="13"/>
      <c r="CY60" s="14"/>
      <c r="DA60" s="65"/>
      <c r="DB60" s="13"/>
      <c r="DC60" s="14"/>
      <c r="DE60" s="65"/>
      <c r="DF60" s="13"/>
      <c r="DG60" s="14"/>
      <c r="DI60" s="65"/>
      <c r="DJ60" s="13"/>
      <c r="DK60" s="14"/>
      <c r="DM60" s="65"/>
      <c r="DN60" s="13"/>
      <c r="DO60" s="14"/>
      <c r="DQ60" s="65"/>
      <c r="DR60" s="13"/>
      <c r="DS60" s="14"/>
      <c r="DU60" s="65">
        <f t="shared" si="109"/>
        <v>40</v>
      </c>
      <c r="DV60" s="13">
        <f t="shared" si="26"/>
        <v>2334017.7412248687</v>
      </c>
      <c r="DW60" s="14">
        <v>43062</v>
      </c>
      <c r="DY60" s="65">
        <f t="shared" si="110"/>
        <v>51</v>
      </c>
      <c r="DZ60" s="13">
        <f t="shared" si="27"/>
        <v>793355.99913445383</v>
      </c>
      <c r="EA60" s="14">
        <v>43065</v>
      </c>
      <c r="EC60" s="65"/>
      <c r="ED60" s="13"/>
      <c r="EE60" s="14"/>
      <c r="EG60" s="65"/>
      <c r="EH60" s="13"/>
      <c r="EI60" s="14"/>
      <c r="EK60" s="65"/>
      <c r="EL60" s="13"/>
      <c r="EM60" s="14"/>
      <c r="EO60" s="65">
        <f t="shared" si="114"/>
        <v>25</v>
      </c>
      <c r="EP60" s="13">
        <f t="shared" si="31"/>
        <v>1281817.1523141135</v>
      </c>
      <c r="EQ60" s="14">
        <v>43077</v>
      </c>
      <c r="ES60" s="65"/>
      <c r="ET60" s="13"/>
      <c r="EU60" s="14"/>
      <c r="EW60" s="65"/>
      <c r="EX60" s="13"/>
      <c r="EY60" s="14"/>
      <c r="FA60" s="65">
        <f t="shared" si="117"/>
        <v>24</v>
      </c>
      <c r="FB60" s="13">
        <f t="shared" si="34"/>
        <v>1261395.9034675527</v>
      </c>
      <c r="FC60" s="14">
        <v>43084</v>
      </c>
      <c r="FE60" s="65">
        <f t="shared" si="118"/>
        <v>19</v>
      </c>
      <c r="FF60" s="13">
        <f t="shared" si="35"/>
        <v>3157340.385662239</v>
      </c>
      <c r="FG60" s="14">
        <v>43084</v>
      </c>
      <c r="FI60" s="65">
        <f t="shared" si="119"/>
        <v>16</v>
      </c>
      <c r="FJ60" s="13">
        <f t="shared" si="36"/>
        <v>1743881.2595226916</v>
      </c>
      <c r="FK60" s="14">
        <v>43086</v>
      </c>
      <c r="FM60" s="65"/>
      <c r="FN60" s="13"/>
      <c r="FO60" s="14"/>
      <c r="FQ60" s="65"/>
      <c r="FR60" s="13"/>
      <c r="FS60" s="14"/>
      <c r="FU60" s="65"/>
      <c r="FV60" s="13"/>
      <c r="FW60" s="14"/>
      <c r="FY60" s="65"/>
      <c r="FZ60" s="13"/>
      <c r="GA60" s="14"/>
      <c r="GC60" s="65"/>
      <c r="GD60" s="13"/>
      <c r="GE60" s="14"/>
      <c r="GG60" s="65"/>
      <c r="GH60" s="13"/>
      <c r="GI60" s="14"/>
      <c r="GK60" s="65"/>
      <c r="GL60" s="13"/>
      <c r="GM60" s="14"/>
      <c r="GO60" s="65"/>
      <c r="GP60" s="13"/>
      <c r="GQ60" s="14"/>
      <c r="GS60" s="65"/>
      <c r="GT60" s="13"/>
      <c r="GU60" s="14"/>
      <c r="GW60" s="65"/>
      <c r="GX60" s="13"/>
      <c r="GY60" s="14"/>
      <c r="HA60" s="65"/>
      <c r="HB60" s="13"/>
      <c r="HC60" s="14"/>
      <c r="HE60" s="65"/>
      <c r="HF60" s="13"/>
      <c r="HG60" s="14"/>
      <c r="HI60" s="65"/>
      <c r="HJ60" s="13"/>
      <c r="HK60" s="14"/>
      <c r="HM60" s="65"/>
      <c r="HN60" s="13"/>
      <c r="HO60" s="14"/>
      <c r="HQ60" s="65"/>
      <c r="HR60" s="13"/>
      <c r="HS60" s="14"/>
      <c r="HU60" s="65"/>
      <c r="HV60" s="13"/>
      <c r="HW60" s="14"/>
      <c r="HY60" s="65"/>
      <c r="HZ60" s="13"/>
      <c r="IA60" s="14"/>
      <c r="IC60" s="65"/>
      <c r="ID60" s="13"/>
      <c r="IE60" s="14"/>
      <c r="IG60" s="65"/>
      <c r="IH60" s="13"/>
      <c r="II60" s="14"/>
      <c r="IK60" s="65"/>
      <c r="IL60" s="13"/>
      <c r="IM60" s="14"/>
      <c r="IO60" s="65"/>
      <c r="IP60" s="13"/>
      <c r="IQ60" s="14"/>
      <c r="IS60" s="65"/>
      <c r="IT60" s="13"/>
      <c r="IU60" s="14"/>
      <c r="IW60" s="65"/>
      <c r="IX60" s="13"/>
      <c r="IY60" s="14"/>
      <c r="JA60" s="65">
        <f t="shared" si="143"/>
        <v>6</v>
      </c>
      <c r="JB60" s="13">
        <f t="shared" si="60"/>
        <v>988445.18701347907</v>
      </c>
      <c r="JC60" s="14">
        <v>43160</v>
      </c>
      <c r="JE60" s="65"/>
      <c r="JF60" s="13"/>
      <c r="JG60" s="14"/>
      <c r="JI60" s="65"/>
      <c r="JJ60" s="13"/>
      <c r="JK60" s="14"/>
      <c r="JM60" s="65"/>
      <c r="JN60" s="13"/>
      <c r="JO60" s="14"/>
      <c r="JQ60" s="65"/>
      <c r="JR60" s="13"/>
      <c r="JS60" s="14"/>
      <c r="JU60" s="65">
        <f t="shared" si="148"/>
        <v>11</v>
      </c>
      <c r="JV60" s="13">
        <f t="shared" si="65"/>
        <v>1654361.1926044992</v>
      </c>
      <c r="JW60" s="14">
        <v>43182</v>
      </c>
      <c r="JY60" s="65"/>
      <c r="JZ60" s="13"/>
      <c r="KA60" s="14"/>
      <c r="KC60" s="65"/>
      <c r="KD60" s="13"/>
      <c r="KE60" s="14"/>
      <c r="KG60" s="65"/>
      <c r="KH60" s="13"/>
      <c r="KI60" s="14"/>
      <c r="KK60" s="65"/>
      <c r="KL60" s="13"/>
      <c r="KM60" s="14"/>
      <c r="KO60" s="65"/>
      <c r="KP60" s="13"/>
      <c r="KQ60" s="14"/>
      <c r="KS60" s="65"/>
      <c r="KT60" s="13"/>
      <c r="KU60" s="14"/>
      <c r="KW60" s="65"/>
      <c r="KX60" s="13"/>
      <c r="KY60" s="14"/>
      <c r="LA60" s="65">
        <f t="shared" si="156"/>
        <v>27</v>
      </c>
      <c r="LB60" s="13">
        <f t="shared" si="73"/>
        <v>2636985.7039048169</v>
      </c>
      <c r="LC60" s="14">
        <v>43237</v>
      </c>
      <c r="LE60" s="65"/>
      <c r="LF60" s="13"/>
      <c r="LG60" s="14"/>
      <c r="LI60" s="65"/>
      <c r="LJ60" s="13"/>
      <c r="LK60" s="14"/>
      <c r="LM60" s="65">
        <f t="shared" si="159"/>
        <v>15</v>
      </c>
      <c r="LN60" s="13">
        <f t="shared" si="76"/>
        <v>745381.58297009475</v>
      </c>
      <c r="LO60" s="14">
        <v>43247</v>
      </c>
      <c r="LQ60" s="65"/>
      <c r="LR60" s="13"/>
      <c r="LS60" s="14"/>
      <c r="LU60" s="65"/>
      <c r="LV60" s="13"/>
      <c r="LW60" s="14"/>
      <c r="LY60" s="65"/>
      <c r="LZ60" s="13"/>
      <c r="MA60" s="14"/>
      <c r="MC60" s="65"/>
      <c r="MD60" s="13"/>
      <c r="ME60" s="14"/>
      <c r="MG60" s="65"/>
      <c r="MH60" s="13"/>
      <c r="MI60" s="14"/>
      <c r="MK60" s="65"/>
      <c r="ML60" s="13"/>
      <c r="MM60" s="14"/>
      <c r="MO60" s="65"/>
      <c r="MP60" s="13"/>
      <c r="MQ60" s="14"/>
      <c r="MS60" s="65"/>
      <c r="MT60" s="13"/>
      <c r="MU60" s="14"/>
    </row>
    <row r="61" spans="1:359" x14ac:dyDescent="0.25">
      <c r="A61" s="15">
        <f t="shared" si="1"/>
        <v>732836.82974651759</v>
      </c>
      <c r="B61" s="20">
        <v>42755</v>
      </c>
      <c r="D61" s="12">
        <v>115</v>
      </c>
      <c r="E61" s="17">
        <v>1141032.6412474513</v>
      </c>
      <c r="F61" s="14">
        <v>42485</v>
      </c>
      <c r="I61" s="12"/>
      <c r="J61" s="13"/>
      <c r="K61" s="14"/>
      <c r="N61" s="12">
        <f t="shared" si="85"/>
        <v>45</v>
      </c>
      <c r="O61" s="13">
        <f t="shared" si="2"/>
        <v>732836.82974651759</v>
      </c>
      <c r="P61" s="14">
        <v>42755</v>
      </c>
      <c r="T61" s="15"/>
      <c r="U61" s="20"/>
      <c r="W61" s="12"/>
      <c r="X61" s="17"/>
      <c r="Y61" s="14"/>
      <c r="AB61" s="12"/>
      <c r="AC61" s="13"/>
      <c r="AD61" s="14"/>
      <c r="AG61" s="12"/>
      <c r="AH61" s="13"/>
      <c r="AI61" s="14"/>
      <c r="AK61" s="12"/>
      <c r="AL61" s="13"/>
      <c r="AM61" s="14"/>
      <c r="BQ61" s="65">
        <f t="shared" si="95"/>
        <v>4</v>
      </c>
      <c r="BR61" s="13">
        <f t="shared" si="12"/>
        <v>4301604.9168043518</v>
      </c>
      <c r="BS61" s="14">
        <v>43028</v>
      </c>
      <c r="BU61" s="65"/>
      <c r="BV61" s="13"/>
      <c r="BW61" s="14">
        <v>43037</v>
      </c>
      <c r="BY61" s="65"/>
      <c r="BZ61" s="13"/>
      <c r="CA61" s="14">
        <v>43037</v>
      </c>
      <c r="CC61" s="65"/>
      <c r="CD61" s="13"/>
      <c r="CE61" s="14">
        <v>43038</v>
      </c>
      <c r="CG61" s="65"/>
      <c r="CH61" s="13"/>
      <c r="CI61" s="14"/>
      <c r="CK61" s="65">
        <f t="shared" si="100"/>
        <v>13</v>
      </c>
      <c r="CL61" s="13">
        <f t="shared" si="17"/>
        <v>801986.08648770303</v>
      </c>
      <c r="CM61" s="14">
        <v>43042</v>
      </c>
      <c r="CO61" s="65"/>
      <c r="CP61" s="13"/>
      <c r="CQ61" s="14"/>
      <c r="CS61" s="65"/>
      <c r="CT61" s="13"/>
      <c r="CU61" s="14"/>
      <c r="CW61" s="65"/>
      <c r="CX61" s="13"/>
      <c r="CY61" s="14"/>
      <c r="DA61" s="65"/>
      <c r="DB61" s="13"/>
      <c r="DC61" s="14"/>
      <c r="DE61" s="65"/>
      <c r="DF61" s="13"/>
      <c r="DG61" s="14"/>
      <c r="DI61" s="65"/>
      <c r="DJ61" s="13"/>
      <c r="DK61" s="14"/>
      <c r="DM61" s="65"/>
      <c r="DN61" s="13"/>
      <c r="DO61" s="14"/>
      <c r="DQ61" s="65"/>
      <c r="DR61" s="13"/>
      <c r="DS61" s="14"/>
      <c r="DU61" s="65">
        <f t="shared" si="109"/>
        <v>39</v>
      </c>
      <c r="DV61" s="13">
        <f t="shared" si="26"/>
        <v>2334132.9315733621</v>
      </c>
      <c r="DW61" s="14">
        <v>43063</v>
      </c>
      <c r="DY61" s="65">
        <f t="shared" si="110"/>
        <v>50</v>
      </c>
      <c r="DZ61" s="13">
        <f t="shared" si="27"/>
        <v>793397.5696285048</v>
      </c>
      <c r="EA61" s="14">
        <v>43066</v>
      </c>
      <c r="EC61" s="65"/>
      <c r="ED61" s="13"/>
      <c r="EE61" s="14"/>
      <c r="EG61" s="65"/>
      <c r="EH61" s="13"/>
      <c r="EI61" s="14"/>
      <c r="EK61" s="65"/>
      <c r="EL61" s="13"/>
      <c r="EM61" s="14"/>
      <c r="EO61" s="65">
        <f t="shared" si="114"/>
        <v>24</v>
      </c>
      <c r="EP61" s="13">
        <f t="shared" si="31"/>
        <v>1281892.242468775</v>
      </c>
      <c r="EQ61" s="14">
        <v>43078</v>
      </c>
      <c r="ES61" s="65"/>
      <c r="ET61" s="13"/>
      <c r="EU61" s="14"/>
      <c r="EW61" s="65"/>
      <c r="EX61" s="13"/>
      <c r="EY61" s="14"/>
      <c r="FA61" s="65">
        <f t="shared" si="117"/>
        <v>23</v>
      </c>
      <c r="FB61" s="13">
        <f t="shared" si="34"/>
        <v>1261471.1555285775</v>
      </c>
      <c r="FC61" s="14">
        <v>43085</v>
      </c>
      <c r="FE61" s="65">
        <f t="shared" si="118"/>
        <v>18</v>
      </c>
      <c r="FF61" s="13">
        <f t="shared" si="35"/>
        <v>3157517.3497055895</v>
      </c>
      <c r="FG61" s="14">
        <v>43085</v>
      </c>
      <c r="FI61" s="65">
        <f t="shared" si="119"/>
        <v>15</v>
      </c>
      <c r="FJ61" s="13">
        <f t="shared" si="36"/>
        <v>1743987.8595285588</v>
      </c>
      <c r="FK61" s="14">
        <v>43087</v>
      </c>
      <c r="FM61" s="65"/>
      <c r="FN61" s="13"/>
      <c r="FO61" s="14"/>
      <c r="FQ61" s="65"/>
      <c r="FR61" s="13"/>
      <c r="FS61" s="14"/>
      <c r="FU61" s="65"/>
      <c r="FV61" s="13"/>
      <c r="FW61" s="14"/>
      <c r="FY61" s="65"/>
      <c r="FZ61" s="13"/>
      <c r="GA61" s="14"/>
      <c r="GC61" s="65"/>
      <c r="GD61" s="13"/>
      <c r="GE61" s="14"/>
      <c r="GG61" s="65"/>
      <c r="GH61" s="13"/>
      <c r="GI61" s="14"/>
      <c r="GK61" s="65"/>
      <c r="GL61" s="13"/>
      <c r="GM61" s="14"/>
      <c r="GO61" s="65"/>
      <c r="GP61" s="13"/>
      <c r="GQ61" s="14"/>
      <c r="GS61" s="65"/>
      <c r="GT61" s="13"/>
      <c r="GU61" s="14"/>
      <c r="GW61" s="65"/>
      <c r="GX61" s="13"/>
      <c r="GY61" s="14"/>
      <c r="HA61" s="65"/>
      <c r="HB61" s="13"/>
      <c r="HC61" s="14"/>
      <c r="HE61" s="65"/>
      <c r="HF61" s="13"/>
      <c r="HG61" s="14"/>
      <c r="HI61" s="65"/>
      <c r="HJ61" s="13"/>
      <c r="HK61" s="14"/>
      <c r="HM61" s="65"/>
      <c r="HN61" s="13"/>
      <c r="HO61" s="14"/>
      <c r="HQ61" s="65"/>
      <c r="HR61" s="13"/>
      <c r="HS61" s="14"/>
      <c r="HU61" s="65"/>
      <c r="HV61" s="13"/>
      <c r="HW61" s="14"/>
      <c r="HY61" s="65"/>
      <c r="HZ61" s="13"/>
      <c r="IA61" s="14"/>
      <c r="IC61" s="65"/>
      <c r="ID61" s="13"/>
      <c r="IE61" s="14"/>
      <c r="IG61" s="65"/>
      <c r="IH61" s="13"/>
      <c r="II61" s="14"/>
      <c r="IK61" s="65"/>
      <c r="IL61" s="13"/>
      <c r="IM61" s="14"/>
      <c r="IO61" s="65"/>
      <c r="IP61" s="13"/>
      <c r="IQ61" s="14"/>
      <c r="IS61" s="65"/>
      <c r="IT61" s="13"/>
      <c r="IU61" s="14"/>
      <c r="IW61" s="65"/>
      <c r="IX61" s="13"/>
      <c r="IY61" s="14"/>
      <c r="JA61" s="65">
        <f t="shared" si="143"/>
        <v>5</v>
      </c>
      <c r="JB61" s="13">
        <f t="shared" si="60"/>
        <v>988497.82220439403</v>
      </c>
      <c r="JC61" s="14">
        <v>43161</v>
      </c>
      <c r="JE61" s="65"/>
      <c r="JF61" s="13"/>
      <c r="JG61" s="14"/>
      <c r="JI61" s="65"/>
      <c r="JJ61" s="13"/>
      <c r="JK61" s="14"/>
      <c r="JM61" s="65"/>
      <c r="JN61" s="13"/>
      <c r="JO61" s="14"/>
      <c r="JQ61" s="65"/>
      <c r="JR61" s="13"/>
      <c r="JS61" s="14"/>
      <c r="JU61" s="65">
        <f t="shared" si="148"/>
        <v>10</v>
      </c>
      <c r="JV61" s="13">
        <f t="shared" si="65"/>
        <v>1654463.937624587</v>
      </c>
      <c r="JW61" s="14">
        <v>43183</v>
      </c>
      <c r="JY61" s="65"/>
      <c r="JZ61" s="13"/>
      <c r="KA61" s="14"/>
      <c r="KC61" s="65"/>
      <c r="KD61" s="13"/>
      <c r="KE61" s="14"/>
      <c r="KG61" s="65"/>
      <c r="KH61" s="13"/>
      <c r="KI61" s="14"/>
      <c r="KK61" s="65"/>
      <c r="KL61" s="13"/>
      <c r="KM61" s="14"/>
      <c r="KO61" s="65"/>
      <c r="KP61" s="13"/>
      <c r="KQ61" s="14"/>
      <c r="KS61" s="65"/>
      <c r="KT61" s="13"/>
      <c r="KU61" s="14"/>
      <c r="KW61" s="65"/>
      <c r="KX61" s="13"/>
      <c r="KY61" s="14"/>
      <c r="LA61" s="65">
        <f t="shared" si="156"/>
        <v>26</v>
      </c>
      <c r="LB61" s="13">
        <f t="shared" si="73"/>
        <v>2637187.4706204631</v>
      </c>
      <c r="LC61" s="14">
        <v>43238</v>
      </c>
      <c r="LE61" s="65"/>
      <c r="LF61" s="13"/>
      <c r="LG61" s="14"/>
      <c r="LI61" s="65"/>
      <c r="LJ61" s="13"/>
      <c r="LK61" s="14"/>
      <c r="LM61" s="65">
        <f t="shared" si="159"/>
        <v>14</v>
      </c>
      <c r="LN61" s="13">
        <f t="shared" si="76"/>
        <v>745434.89318783989</v>
      </c>
      <c r="LO61" s="14">
        <v>43248</v>
      </c>
      <c r="LQ61" s="65"/>
      <c r="LR61" s="13"/>
      <c r="LS61" s="14"/>
      <c r="LU61" s="65"/>
      <c r="LV61" s="13"/>
      <c r="LW61" s="14"/>
      <c r="LY61" s="65"/>
      <c r="LZ61" s="13"/>
      <c r="MA61" s="14"/>
      <c r="MC61" s="65"/>
      <c r="MD61" s="13"/>
      <c r="ME61" s="14"/>
      <c r="MG61" s="65"/>
      <c r="MH61" s="13"/>
      <c r="MI61" s="14"/>
      <c r="MK61" s="65"/>
      <c r="ML61" s="13"/>
      <c r="MM61" s="14"/>
      <c r="MO61" s="65"/>
      <c r="MP61" s="13"/>
      <c r="MQ61" s="14"/>
      <c r="MS61" s="65"/>
      <c r="MT61" s="13"/>
      <c r="MU61" s="14"/>
    </row>
    <row r="62" spans="1:359" x14ac:dyDescent="0.25">
      <c r="A62" s="15">
        <f t="shared" si="1"/>
        <v>732866.19256900763</v>
      </c>
      <c r="B62" s="20">
        <v>42756</v>
      </c>
      <c r="D62" s="12">
        <v>114</v>
      </c>
      <c r="E62" s="17">
        <v>1141059.8031519796</v>
      </c>
      <c r="F62" s="14">
        <v>42486</v>
      </c>
      <c r="I62" s="12"/>
      <c r="J62" s="13"/>
      <c r="K62" s="14"/>
      <c r="N62" s="12">
        <f t="shared" si="85"/>
        <v>44</v>
      </c>
      <c r="O62" s="13">
        <f t="shared" si="2"/>
        <v>732866.19256900763</v>
      </c>
      <c r="P62" s="14">
        <v>42756</v>
      </c>
      <c r="T62" s="15"/>
      <c r="U62" s="20"/>
      <c r="W62" s="12"/>
      <c r="X62" s="17"/>
      <c r="Y62" s="14"/>
      <c r="AB62" s="12"/>
      <c r="AC62" s="13"/>
      <c r="AD62" s="14"/>
      <c r="AG62" s="12"/>
      <c r="AH62" s="13"/>
      <c r="AI62" s="14"/>
      <c r="AK62" s="12"/>
      <c r="AL62" s="13"/>
      <c r="AM62" s="14"/>
      <c r="BQ62" s="65">
        <f t="shared" si="95"/>
        <v>3</v>
      </c>
      <c r="BR62" s="13">
        <f t="shared" si="12"/>
        <v>4301905.8726942353</v>
      </c>
      <c r="BS62" s="14">
        <v>43029</v>
      </c>
      <c r="BU62" s="65"/>
      <c r="BV62" s="13"/>
      <c r="BW62" s="14">
        <v>43038</v>
      </c>
      <c r="BY62" s="65"/>
      <c r="BZ62" s="13"/>
      <c r="CA62" s="14">
        <v>43038</v>
      </c>
      <c r="CC62" s="65"/>
      <c r="CD62" s="13"/>
      <c r="CE62" s="14">
        <v>43039</v>
      </c>
      <c r="CG62" s="65"/>
      <c r="CH62" s="13"/>
      <c r="CI62" s="14"/>
      <c r="CK62" s="65">
        <f t="shared" si="100"/>
        <v>12</v>
      </c>
      <c r="CL62" s="13">
        <f t="shared" si="17"/>
        <v>802023.90891389304</v>
      </c>
      <c r="CM62" s="14">
        <v>43043</v>
      </c>
      <c r="CO62" s="65"/>
      <c r="CP62" s="13"/>
      <c r="CQ62" s="14"/>
      <c r="CS62" s="65"/>
      <c r="CT62" s="13"/>
      <c r="CU62" s="14"/>
      <c r="CW62" s="65"/>
      <c r="CX62" s="13"/>
      <c r="CY62" s="14"/>
      <c r="DA62" s="65"/>
      <c r="DB62" s="13"/>
      <c r="DC62" s="14"/>
      <c r="DE62" s="65"/>
      <c r="DF62" s="13"/>
      <c r="DG62" s="14"/>
      <c r="DI62" s="65"/>
      <c r="DJ62" s="13"/>
      <c r="DK62" s="14"/>
      <c r="DM62" s="65"/>
      <c r="DN62" s="13"/>
      <c r="DO62" s="14"/>
      <c r="DQ62" s="65"/>
      <c r="DR62" s="13"/>
      <c r="DS62" s="14"/>
      <c r="DU62" s="65">
        <f t="shared" si="109"/>
        <v>38</v>
      </c>
      <c r="DV62" s="13">
        <f t="shared" si="26"/>
        <v>2334248.1332923537</v>
      </c>
      <c r="DW62" s="14">
        <v>43064</v>
      </c>
      <c r="DY62" s="65">
        <f t="shared" si="110"/>
        <v>49</v>
      </c>
      <c r="DZ62" s="13">
        <f t="shared" si="27"/>
        <v>793439.14447922911</v>
      </c>
      <c r="EA62" s="14">
        <v>43067</v>
      </c>
      <c r="EC62" s="65"/>
      <c r="ED62" s="13"/>
      <c r="EE62" s="14"/>
      <c r="EG62" s="65"/>
      <c r="EH62" s="13"/>
      <c r="EI62" s="14"/>
      <c r="EK62" s="65"/>
      <c r="EL62" s="13"/>
      <c r="EM62" s="14"/>
      <c r="EO62" s="65">
        <f t="shared" si="114"/>
        <v>23</v>
      </c>
      <c r="EP62" s="13">
        <f t="shared" si="31"/>
        <v>1281967.3414216673</v>
      </c>
      <c r="EQ62" s="14">
        <v>43079</v>
      </c>
      <c r="ES62" s="65"/>
      <c r="ET62" s="13"/>
      <c r="EU62" s="14"/>
      <c r="EW62" s="65"/>
      <c r="EX62" s="13"/>
      <c r="EY62" s="14"/>
      <c r="FA62" s="65">
        <f t="shared" si="117"/>
        <v>22</v>
      </c>
      <c r="FB62" s="13">
        <f t="shared" si="34"/>
        <v>1261546.4165688774</v>
      </c>
      <c r="FC62" s="14">
        <v>43086</v>
      </c>
      <c r="FE62" s="65">
        <f t="shared" si="118"/>
        <v>17</v>
      </c>
      <c r="FF62" s="13">
        <f t="shared" si="35"/>
        <v>3157694.3335871738</v>
      </c>
      <c r="FG62" s="14">
        <v>43086</v>
      </c>
      <c r="FI62" s="65">
        <f t="shared" si="119"/>
        <v>14</v>
      </c>
      <c r="FJ62" s="13">
        <f t="shared" si="36"/>
        <v>1744094.4725677171</v>
      </c>
      <c r="FK62" s="14">
        <v>43088</v>
      </c>
      <c r="FM62" s="65"/>
      <c r="FN62" s="13"/>
      <c r="FO62" s="14"/>
      <c r="FQ62" s="65"/>
      <c r="FR62" s="13"/>
      <c r="FS62" s="14"/>
      <c r="FU62" s="65"/>
      <c r="FV62" s="13"/>
      <c r="FW62" s="14"/>
      <c r="FY62" s="65"/>
      <c r="FZ62" s="13"/>
      <c r="GA62" s="14"/>
      <c r="GC62" s="65"/>
      <c r="GD62" s="13"/>
      <c r="GE62" s="14"/>
      <c r="GG62" s="65"/>
      <c r="GH62" s="13"/>
      <c r="GI62" s="14"/>
      <c r="GK62" s="65"/>
      <c r="GL62" s="13"/>
      <c r="GM62" s="14"/>
      <c r="GO62" s="65"/>
      <c r="GP62" s="13"/>
      <c r="GQ62" s="14"/>
      <c r="GS62" s="65"/>
      <c r="GT62" s="13"/>
      <c r="GU62" s="14"/>
      <c r="GW62" s="65"/>
      <c r="GX62" s="13"/>
      <c r="GY62" s="14"/>
      <c r="HA62" s="65"/>
      <c r="HB62" s="13"/>
      <c r="HC62" s="14"/>
      <c r="HE62" s="65"/>
      <c r="HF62" s="13"/>
      <c r="HG62" s="14"/>
      <c r="HI62" s="65"/>
      <c r="HJ62" s="13"/>
      <c r="HK62" s="14"/>
      <c r="HM62" s="65"/>
      <c r="HN62" s="13"/>
      <c r="HO62" s="14"/>
      <c r="HQ62" s="65"/>
      <c r="HR62" s="13"/>
      <c r="HS62" s="14"/>
      <c r="HU62" s="65"/>
      <c r="HV62" s="13"/>
      <c r="HW62" s="14"/>
      <c r="HY62" s="65"/>
      <c r="HZ62" s="13"/>
      <c r="IA62" s="14"/>
      <c r="IC62" s="65"/>
      <c r="ID62" s="13"/>
      <c r="IE62" s="14"/>
      <c r="IG62" s="65"/>
      <c r="IH62" s="13"/>
      <c r="II62" s="14"/>
      <c r="IK62" s="65"/>
      <c r="IL62" s="13"/>
      <c r="IM62" s="14"/>
      <c r="IO62" s="65"/>
      <c r="IP62" s="13"/>
      <c r="IQ62" s="14"/>
      <c r="IS62" s="65"/>
      <c r="IT62" s="13"/>
      <c r="IU62" s="14"/>
      <c r="IW62" s="65"/>
      <c r="IX62" s="13"/>
      <c r="IY62" s="14"/>
      <c r="JA62" s="65">
        <f t="shared" si="143"/>
        <v>4</v>
      </c>
      <c r="JB62" s="13">
        <f t="shared" si="60"/>
        <v>988550.46300130687</v>
      </c>
      <c r="JC62" s="14">
        <v>43162</v>
      </c>
      <c r="JE62" s="65"/>
      <c r="JF62" s="13"/>
      <c r="JG62" s="14"/>
      <c r="JI62" s="65"/>
      <c r="JJ62" s="13"/>
      <c r="JK62" s="14"/>
      <c r="JM62" s="65"/>
      <c r="JN62" s="13"/>
      <c r="JO62" s="14"/>
      <c r="JQ62" s="65"/>
      <c r="JR62" s="13"/>
      <c r="JS62" s="14"/>
      <c r="JU62" s="65">
        <f t="shared" si="148"/>
        <v>9</v>
      </c>
      <c r="JV62" s="13">
        <f t="shared" si="65"/>
        <v>1654566.695407541</v>
      </c>
      <c r="JW62" s="14">
        <v>43184</v>
      </c>
      <c r="JY62" s="65"/>
      <c r="JZ62" s="13"/>
      <c r="KA62" s="14"/>
      <c r="KC62" s="65"/>
      <c r="KD62" s="13"/>
      <c r="KE62" s="14"/>
      <c r="KG62" s="65"/>
      <c r="KH62" s="13"/>
      <c r="KI62" s="14"/>
      <c r="KK62" s="65"/>
      <c r="KL62" s="13"/>
      <c r="KM62" s="14"/>
      <c r="KO62" s="65"/>
      <c r="KP62" s="13"/>
      <c r="KQ62" s="14"/>
      <c r="KS62" s="65"/>
      <c r="KT62" s="13"/>
      <c r="KU62" s="14"/>
      <c r="KW62" s="65"/>
      <c r="KX62" s="13"/>
      <c r="KY62" s="14"/>
      <c r="LA62" s="65">
        <f t="shared" si="156"/>
        <v>25</v>
      </c>
      <c r="LB62" s="13">
        <f t="shared" si="73"/>
        <v>2637389.2682144889</v>
      </c>
      <c r="LC62" s="14">
        <v>43239</v>
      </c>
      <c r="LE62" s="65"/>
      <c r="LF62" s="13"/>
      <c r="LG62" s="14"/>
      <c r="LI62" s="65"/>
      <c r="LJ62" s="13"/>
      <c r="LK62" s="14"/>
      <c r="LM62" s="65">
        <f t="shared" si="159"/>
        <v>13</v>
      </c>
      <c r="LN62" s="13">
        <f t="shared" si="76"/>
        <v>745488.21103169955</v>
      </c>
      <c r="LO62" s="14">
        <v>43249</v>
      </c>
      <c r="LQ62" s="65"/>
      <c r="LR62" s="13"/>
      <c r="LS62" s="14"/>
      <c r="LU62" s="65"/>
      <c r="LV62" s="13"/>
      <c r="LW62" s="14"/>
      <c r="LY62" s="65"/>
      <c r="LZ62" s="13"/>
      <c r="MA62" s="14"/>
      <c r="MC62" s="65"/>
      <c r="MD62" s="13"/>
      <c r="ME62" s="14"/>
      <c r="MG62" s="65"/>
      <c r="MH62" s="13"/>
      <c r="MI62" s="14"/>
      <c r="MK62" s="65"/>
      <c r="ML62" s="13"/>
      <c r="MM62" s="14"/>
      <c r="MO62" s="65"/>
      <c r="MP62" s="13"/>
      <c r="MQ62" s="14"/>
      <c r="MS62" s="65"/>
      <c r="MT62" s="13"/>
      <c r="MU62" s="14"/>
    </row>
    <row r="63" spans="1:359" x14ac:dyDescent="0.25">
      <c r="A63" s="15">
        <f t="shared" si="1"/>
        <v>732895.55774457229</v>
      </c>
      <c r="B63" s="20">
        <v>42757</v>
      </c>
      <c r="D63" s="12">
        <v>113</v>
      </c>
      <c r="E63" s="17">
        <v>1141086.9663496993</v>
      </c>
      <c r="F63" s="14">
        <v>42487</v>
      </c>
      <c r="I63" s="12"/>
      <c r="J63" s="13"/>
      <c r="K63" s="14"/>
      <c r="N63" s="12">
        <f t="shared" si="85"/>
        <v>43</v>
      </c>
      <c r="O63" s="13">
        <f t="shared" si="2"/>
        <v>732895.55774457229</v>
      </c>
      <c r="P63" s="14">
        <v>42757</v>
      </c>
      <c r="T63" s="15"/>
      <c r="U63" s="20"/>
      <c r="W63" s="12"/>
      <c r="X63" s="17"/>
      <c r="Y63" s="14"/>
      <c r="AB63" s="12"/>
      <c r="AC63" s="13"/>
      <c r="AD63" s="14"/>
      <c r="AG63" s="12"/>
      <c r="AH63" s="13"/>
      <c r="AI63" s="14"/>
      <c r="AK63" s="12"/>
      <c r="AL63" s="13"/>
      <c r="AM63" s="14"/>
      <c r="BQ63" s="65">
        <f t="shared" si="95"/>
        <v>2</v>
      </c>
      <c r="BR63" s="13">
        <f t="shared" si="12"/>
        <v>4302206.8706989978</v>
      </c>
      <c r="BS63" s="14">
        <v>43030</v>
      </c>
      <c r="BU63" s="65"/>
      <c r="BV63" s="13"/>
      <c r="BW63" s="14">
        <v>43039</v>
      </c>
      <c r="BY63" s="65"/>
      <c r="BZ63" s="13"/>
      <c r="CA63" s="14">
        <v>43039</v>
      </c>
      <c r="CC63" s="65"/>
      <c r="CD63" s="13"/>
      <c r="CE63" s="14">
        <v>43040</v>
      </c>
      <c r="CG63" s="65"/>
      <c r="CH63" s="13"/>
      <c r="CI63" s="14"/>
      <c r="CK63" s="65">
        <f t="shared" si="100"/>
        <v>11</v>
      </c>
      <c r="CL63" s="13">
        <f t="shared" si="17"/>
        <v>802061.73490773456</v>
      </c>
      <c r="CM63" s="14">
        <v>43044</v>
      </c>
      <c r="CO63" s="65"/>
      <c r="CP63" s="13"/>
      <c r="CQ63" s="14"/>
      <c r="CS63" s="65"/>
      <c r="CT63" s="13"/>
      <c r="CU63" s="14"/>
      <c r="CW63" s="65"/>
      <c r="CX63" s="13"/>
      <c r="CY63" s="14"/>
      <c r="DA63" s="65"/>
      <c r="DB63" s="13"/>
      <c r="DC63" s="14"/>
      <c r="DE63" s="65"/>
      <c r="DF63" s="13"/>
      <c r="DG63" s="14"/>
      <c r="DI63" s="65"/>
      <c r="DJ63" s="13"/>
      <c r="DK63" s="14"/>
      <c r="DM63" s="65"/>
      <c r="DN63" s="13"/>
      <c r="DO63" s="14"/>
      <c r="DQ63" s="65"/>
      <c r="DR63" s="13"/>
      <c r="DS63" s="14"/>
      <c r="DU63" s="65">
        <f t="shared" si="109"/>
        <v>37</v>
      </c>
      <c r="DV63" s="13">
        <f t="shared" si="26"/>
        <v>2334363.3463835255</v>
      </c>
      <c r="DW63" s="14">
        <v>43065</v>
      </c>
      <c r="DY63" s="65">
        <f t="shared" si="110"/>
        <v>48</v>
      </c>
      <c r="DZ63" s="13">
        <f t="shared" si="27"/>
        <v>793480.7236873121</v>
      </c>
      <c r="EA63" s="14">
        <v>43068</v>
      </c>
      <c r="EC63" s="65"/>
      <c r="ED63" s="13"/>
      <c r="EE63" s="14"/>
      <c r="EG63" s="65"/>
      <c r="EH63" s="13"/>
      <c r="EI63" s="14"/>
      <c r="EK63" s="65"/>
      <c r="EL63" s="13"/>
      <c r="EM63" s="14"/>
      <c r="EO63" s="65">
        <f t="shared" si="114"/>
        <v>22</v>
      </c>
      <c r="EP63" s="13">
        <f t="shared" si="31"/>
        <v>1282042.4491743371</v>
      </c>
      <c r="EQ63" s="14">
        <v>43080</v>
      </c>
      <c r="ES63" s="65"/>
      <c r="ET63" s="13"/>
      <c r="EU63" s="14"/>
      <c r="EW63" s="65"/>
      <c r="EX63" s="13"/>
      <c r="EY63" s="14"/>
      <c r="FA63" s="65">
        <f t="shared" si="117"/>
        <v>21</v>
      </c>
      <c r="FB63" s="13">
        <f t="shared" si="34"/>
        <v>1261621.6865900599</v>
      </c>
      <c r="FC63" s="14">
        <v>43087</v>
      </c>
      <c r="FE63" s="65">
        <f t="shared" si="118"/>
        <v>16</v>
      </c>
      <c r="FF63" s="13">
        <f t="shared" si="35"/>
        <v>3157871.3373103272</v>
      </c>
      <c r="FG63" s="14">
        <v>43087</v>
      </c>
      <c r="FI63" s="65">
        <f t="shared" si="119"/>
        <v>13</v>
      </c>
      <c r="FJ63" s="13">
        <f t="shared" si="36"/>
        <v>1744201.0986425565</v>
      </c>
      <c r="FK63" s="14">
        <v>43089</v>
      </c>
      <c r="FM63" s="65"/>
      <c r="FN63" s="13"/>
      <c r="FO63" s="14"/>
      <c r="FQ63" s="65"/>
      <c r="FR63" s="13"/>
      <c r="FS63" s="14"/>
      <c r="FU63" s="65"/>
      <c r="FV63" s="13"/>
      <c r="FW63" s="14"/>
      <c r="FY63" s="65"/>
      <c r="FZ63" s="13"/>
      <c r="GA63" s="14"/>
      <c r="GC63" s="65"/>
      <c r="GD63" s="13"/>
      <c r="GE63" s="14"/>
      <c r="GG63" s="65"/>
      <c r="GH63" s="13"/>
      <c r="GI63" s="14"/>
      <c r="GK63" s="65"/>
      <c r="GL63" s="13"/>
      <c r="GM63" s="14"/>
      <c r="GO63" s="65"/>
      <c r="GP63" s="13"/>
      <c r="GQ63" s="14"/>
      <c r="GS63" s="65"/>
      <c r="GT63" s="13"/>
      <c r="GU63" s="14"/>
      <c r="GW63" s="65"/>
      <c r="GX63" s="13"/>
      <c r="GY63" s="14"/>
      <c r="HA63" s="65"/>
      <c r="HB63" s="13"/>
      <c r="HC63" s="14"/>
      <c r="HE63" s="65"/>
      <c r="HF63" s="13"/>
      <c r="HG63" s="14"/>
      <c r="HI63" s="65"/>
      <c r="HJ63" s="13"/>
      <c r="HK63" s="14"/>
      <c r="HM63" s="65"/>
      <c r="HN63" s="13"/>
      <c r="HO63" s="14"/>
      <c r="HQ63" s="65"/>
      <c r="HR63" s="13"/>
      <c r="HS63" s="14"/>
      <c r="HU63" s="65"/>
      <c r="HV63" s="13"/>
      <c r="HW63" s="14"/>
      <c r="HY63" s="65"/>
      <c r="HZ63" s="13"/>
      <c r="IA63" s="14"/>
      <c r="IC63" s="65"/>
      <c r="ID63" s="13"/>
      <c r="IE63" s="14"/>
      <c r="IG63" s="65"/>
      <c r="IH63" s="13"/>
      <c r="II63" s="14"/>
      <c r="IK63" s="65"/>
      <c r="IL63" s="13"/>
      <c r="IM63" s="14"/>
      <c r="IO63" s="65"/>
      <c r="IP63" s="13"/>
      <c r="IQ63" s="14"/>
      <c r="IS63" s="65"/>
      <c r="IT63" s="13"/>
      <c r="IU63" s="14"/>
      <c r="IW63" s="65"/>
      <c r="IX63" s="13"/>
      <c r="IY63" s="14"/>
      <c r="JA63" s="65">
        <f t="shared" si="143"/>
        <v>3</v>
      </c>
      <c r="JB63" s="13">
        <f t="shared" si="60"/>
        <v>988603.1094051135</v>
      </c>
      <c r="JC63" s="14">
        <v>43163</v>
      </c>
      <c r="JE63" s="65"/>
      <c r="JF63" s="13"/>
      <c r="JG63" s="14"/>
      <c r="JI63" s="65"/>
      <c r="JJ63" s="13"/>
      <c r="JK63" s="14"/>
      <c r="JM63" s="65"/>
      <c r="JN63" s="13"/>
      <c r="JO63" s="14"/>
      <c r="JQ63" s="65"/>
      <c r="JR63" s="13"/>
      <c r="JS63" s="14"/>
      <c r="JU63" s="65">
        <f t="shared" si="148"/>
        <v>8</v>
      </c>
      <c r="JV63" s="13">
        <f t="shared" si="65"/>
        <v>1654669.4659557384</v>
      </c>
      <c r="JW63" s="14">
        <v>43185</v>
      </c>
      <c r="JY63" s="65"/>
      <c r="JZ63" s="13"/>
      <c r="KA63" s="14"/>
      <c r="KC63" s="65"/>
      <c r="KD63" s="13"/>
      <c r="KE63" s="14"/>
      <c r="KG63" s="65"/>
      <c r="KH63" s="13"/>
      <c r="KI63" s="14"/>
      <c r="KK63" s="65"/>
      <c r="KL63" s="13"/>
      <c r="KM63" s="14"/>
      <c r="KO63" s="65"/>
      <c r="KP63" s="13"/>
      <c r="KQ63" s="14"/>
      <c r="KS63" s="65"/>
      <c r="KT63" s="13"/>
      <c r="KU63" s="14"/>
      <c r="KW63" s="65"/>
      <c r="KX63" s="13"/>
      <c r="KY63" s="14"/>
      <c r="LA63" s="65">
        <f t="shared" si="156"/>
        <v>24</v>
      </c>
      <c r="LB63" s="13">
        <f t="shared" si="73"/>
        <v>2637591.0966939828</v>
      </c>
      <c r="LC63" s="14">
        <v>43240</v>
      </c>
      <c r="LE63" s="65"/>
      <c r="LF63" s="13"/>
      <c r="LG63" s="14"/>
      <c r="LI63" s="65"/>
      <c r="LJ63" s="13"/>
      <c r="LK63" s="14"/>
      <c r="LM63" s="65">
        <f t="shared" si="159"/>
        <v>12</v>
      </c>
      <c r="LN63" s="13">
        <f t="shared" si="76"/>
        <v>745541.53650330997</v>
      </c>
      <c r="LO63" s="14">
        <v>43250</v>
      </c>
      <c r="LQ63" s="65"/>
      <c r="LR63" s="13"/>
      <c r="LS63" s="14"/>
      <c r="LU63" s="65"/>
      <c r="LV63" s="13"/>
      <c r="LW63" s="14"/>
      <c r="LY63" s="65"/>
      <c r="LZ63" s="13"/>
      <c r="MA63" s="14"/>
      <c r="MC63" s="65"/>
      <c r="MD63" s="13"/>
      <c r="ME63" s="14"/>
      <c r="MG63" s="65"/>
      <c r="MH63" s="13"/>
      <c r="MI63" s="14"/>
      <c r="MK63" s="65"/>
      <c r="ML63" s="13"/>
      <c r="MM63" s="14"/>
      <c r="MO63" s="65"/>
      <c r="MP63" s="13"/>
      <c r="MQ63" s="14"/>
      <c r="MS63" s="65"/>
      <c r="MT63" s="13"/>
      <c r="MU63" s="14"/>
    </row>
    <row r="64" spans="1:359" x14ac:dyDescent="0.25">
      <c r="A64" s="15">
        <f t="shared" si="1"/>
        <v>732924.92527349468</v>
      </c>
      <c r="B64" s="20">
        <v>42758</v>
      </c>
      <c r="D64" s="12">
        <v>112</v>
      </c>
      <c r="E64" s="17">
        <v>1141114.1308407022</v>
      </c>
      <c r="F64" s="14">
        <v>42488</v>
      </c>
      <c r="I64" s="12"/>
      <c r="J64" s="13"/>
      <c r="K64" s="14"/>
      <c r="N64" s="12">
        <f t="shared" si="85"/>
        <v>42</v>
      </c>
      <c r="O64" s="13">
        <f t="shared" si="2"/>
        <v>732924.92527349468</v>
      </c>
      <c r="P64" s="14">
        <v>42758</v>
      </c>
      <c r="T64" s="15"/>
      <c r="U64" s="20"/>
      <c r="W64" s="12"/>
      <c r="X64" s="17"/>
      <c r="Y64" s="14"/>
      <c r="AB64" s="12"/>
      <c r="AC64" s="13"/>
      <c r="AD64" s="14"/>
      <c r="AG64" s="12"/>
      <c r="AH64" s="13"/>
      <c r="AI64" s="14"/>
      <c r="AK64" s="12"/>
      <c r="AL64" s="13"/>
      <c r="AM64" s="14"/>
      <c r="BQ64" s="65">
        <f t="shared" si="95"/>
        <v>1</v>
      </c>
      <c r="BR64" s="13">
        <f t="shared" si="12"/>
        <v>4302507.9108274793</v>
      </c>
      <c r="BS64" s="14">
        <v>43031</v>
      </c>
      <c r="BU64" s="65"/>
      <c r="BV64" s="13"/>
      <c r="BW64" s="14">
        <v>43040</v>
      </c>
      <c r="BY64" s="65"/>
      <c r="BZ64" s="13"/>
      <c r="CA64" s="14">
        <v>43040</v>
      </c>
      <c r="CC64" s="65"/>
      <c r="CD64" s="13"/>
      <c r="CE64" s="14">
        <v>43041</v>
      </c>
      <c r="CG64" s="65"/>
      <c r="CH64" s="13"/>
      <c r="CI64" s="14"/>
      <c r="CK64" s="65">
        <f t="shared" si="100"/>
        <v>10</v>
      </c>
      <c r="CL64" s="13">
        <f t="shared" si="17"/>
        <v>802099.56446973223</v>
      </c>
      <c r="CM64" s="14">
        <v>43045</v>
      </c>
      <c r="CO64" s="65"/>
      <c r="CP64" s="13"/>
      <c r="CQ64" s="14"/>
      <c r="CS64" s="65"/>
      <c r="CT64" s="13"/>
      <c r="CU64" s="14"/>
      <c r="CW64" s="65"/>
      <c r="CX64" s="13"/>
      <c r="CY64" s="14"/>
      <c r="DA64" s="65"/>
      <c r="DB64" s="13"/>
      <c r="DC64" s="14"/>
      <c r="DE64" s="65"/>
      <c r="DF64" s="13"/>
      <c r="DG64" s="14"/>
      <c r="DI64" s="65"/>
      <c r="DJ64" s="13"/>
      <c r="DK64" s="14"/>
      <c r="DM64" s="65"/>
      <c r="DN64" s="13"/>
      <c r="DO64" s="14"/>
      <c r="DQ64" s="65"/>
      <c r="DR64" s="13"/>
      <c r="DS64" s="14"/>
      <c r="DU64" s="65">
        <f t="shared" si="109"/>
        <v>36</v>
      </c>
      <c r="DV64" s="13">
        <f t="shared" si="26"/>
        <v>2334478.5708485623</v>
      </c>
      <c r="DW64" s="14">
        <v>43066</v>
      </c>
      <c r="DY64" s="65">
        <f t="shared" si="110"/>
        <v>47</v>
      </c>
      <c r="DZ64" s="13">
        <f t="shared" si="27"/>
        <v>793522.3072534384</v>
      </c>
      <c r="EA64" s="14">
        <v>43069</v>
      </c>
      <c r="EC64" s="65"/>
      <c r="ED64" s="13"/>
      <c r="EE64" s="14"/>
      <c r="EG64" s="65"/>
      <c r="EH64" s="13"/>
      <c r="EI64" s="14"/>
      <c r="EK64" s="65"/>
      <c r="EL64" s="13"/>
      <c r="EM64" s="14"/>
      <c r="EO64" s="65">
        <f t="shared" si="114"/>
        <v>21</v>
      </c>
      <c r="EP64" s="13">
        <f t="shared" si="31"/>
        <v>1282117.5657283312</v>
      </c>
      <c r="EQ64" s="14">
        <v>43081</v>
      </c>
      <c r="ES64" s="65"/>
      <c r="ET64" s="13"/>
      <c r="EU64" s="14"/>
      <c r="EW64" s="65"/>
      <c r="EX64" s="13"/>
      <c r="EY64" s="14"/>
      <c r="FA64" s="65">
        <f t="shared" si="117"/>
        <v>20</v>
      </c>
      <c r="FB64" s="13">
        <f t="shared" si="34"/>
        <v>1261696.9655937327</v>
      </c>
      <c r="FC64" s="14">
        <v>43088</v>
      </c>
      <c r="FE64" s="65">
        <f t="shared" si="118"/>
        <v>15</v>
      </c>
      <c r="FF64" s="13">
        <f t="shared" si="35"/>
        <v>3158048.3608783879</v>
      </c>
      <c r="FG64" s="14">
        <v>43088</v>
      </c>
      <c r="FI64" s="65">
        <f t="shared" si="119"/>
        <v>12</v>
      </c>
      <c r="FJ64" s="13">
        <f t="shared" si="36"/>
        <v>1744307.7377554683</v>
      </c>
      <c r="FK64" s="14">
        <v>43090</v>
      </c>
      <c r="FM64" s="65"/>
      <c r="FN64" s="13"/>
      <c r="FO64" s="14"/>
      <c r="FQ64" s="65"/>
      <c r="FR64" s="13"/>
      <c r="FS64" s="14"/>
      <c r="FU64" s="65"/>
      <c r="FV64" s="13"/>
      <c r="FW64" s="14"/>
      <c r="FY64" s="65"/>
      <c r="FZ64" s="13"/>
      <c r="GA64" s="14"/>
      <c r="GC64" s="65"/>
      <c r="GD64" s="13"/>
      <c r="GE64" s="14"/>
      <c r="GG64" s="65"/>
      <c r="GH64" s="13"/>
      <c r="GI64" s="14"/>
      <c r="GK64" s="65"/>
      <c r="GL64" s="13"/>
      <c r="GM64" s="14"/>
      <c r="GO64" s="65"/>
      <c r="GP64" s="13"/>
      <c r="GQ64" s="14"/>
      <c r="GS64" s="65"/>
      <c r="GT64" s="13"/>
      <c r="GU64" s="14"/>
      <c r="GW64" s="65"/>
      <c r="GX64" s="13"/>
      <c r="GY64" s="14"/>
      <c r="HA64" s="65"/>
      <c r="HB64" s="13"/>
      <c r="HC64" s="14"/>
      <c r="HE64" s="65"/>
      <c r="HF64" s="13"/>
      <c r="HG64" s="14"/>
      <c r="HI64" s="65"/>
      <c r="HJ64" s="13"/>
      <c r="HK64" s="14"/>
      <c r="HM64" s="65"/>
      <c r="HN64" s="13"/>
      <c r="HO64" s="14"/>
      <c r="HQ64" s="65"/>
      <c r="HR64" s="13"/>
      <c r="HS64" s="14"/>
      <c r="HU64" s="65"/>
      <c r="HV64" s="13"/>
      <c r="HW64" s="14"/>
      <c r="HY64" s="65"/>
      <c r="HZ64" s="13"/>
      <c r="IA64" s="14"/>
      <c r="IC64" s="65"/>
      <c r="ID64" s="13"/>
      <c r="IE64" s="14"/>
      <c r="IG64" s="65"/>
      <c r="IH64" s="13"/>
      <c r="II64" s="14"/>
      <c r="IK64" s="65"/>
      <c r="IL64" s="13"/>
      <c r="IM64" s="14"/>
      <c r="IO64" s="65"/>
      <c r="IP64" s="13"/>
      <c r="IQ64" s="14"/>
      <c r="IS64" s="65"/>
      <c r="IT64" s="13"/>
      <c r="IU64" s="14"/>
      <c r="IW64" s="65"/>
      <c r="IX64" s="13"/>
      <c r="IY64" s="14"/>
      <c r="JA64" s="65">
        <f t="shared" si="143"/>
        <v>2</v>
      </c>
      <c r="JB64" s="13">
        <f t="shared" si="60"/>
        <v>988655.76141670952</v>
      </c>
      <c r="JC64" s="14">
        <v>43164</v>
      </c>
      <c r="JE64" s="65"/>
      <c r="JF64" s="13"/>
      <c r="JG64" s="14"/>
      <c r="JI64" s="65"/>
      <c r="JJ64" s="13"/>
      <c r="JK64" s="14"/>
      <c r="JM64" s="65"/>
      <c r="JN64" s="13"/>
      <c r="JO64" s="14"/>
      <c r="JQ64" s="65"/>
      <c r="JR64" s="13"/>
      <c r="JS64" s="14"/>
      <c r="JU64" s="65">
        <f t="shared" si="148"/>
        <v>7</v>
      </c>
      <c r="JV64" s="13">
        <f t="shared" si="65"/>
        <v>1654772.2492715586</v>
      </c>
      <c r="JW64" s="14">
        <v>43186</v>
      </c>
      <c r="JY64" s="65"/>
      <c r="JZ64" s="13"/>
      <c r="KA64" s="14"/>
      <c r="KC64" s="65"/>
      <c r="KD64" s="13"/>
      <c r="KE64" s="14"/>
      <c r="KG64" s="65"/>
      <c r="KH64" s="13"/>
      <c r="KI64" s="14"/>
      <c r="KK64" s="65"/>
      <c r="KL64" s="13"/>
      <c r="KM64" s="14"/>
      <c r="KO64" s="65"/>
      <c r="KP64" s="13"/>
      <c r="KQ64" s="14"/>
      <c r="KS64" s="65"/>
      <c r="KT64" s="13"/>
      <c r="KU64" s="14"/>
      <c r="KW64" s="65"/>
      <c r="KX64" s="13"/>
      <c r="KY64" s="14"/>
      <c r="LA64" s="65">
        <f t="shared" si="156"/>
        <v>23</v>
      </c>
      <c r="LB64" s="13">
        <f t="shared" si="73"/>
        <v>2637792.9560660366</v>
      </c>
      <c r="LC64" s="14">
        <v>43241</v>
      </c>
      <c r="LE64" s="65"/>
      <c r="LF64" s="13"/>
      <c r="LG64" s="14"/>
      <c r="LI64" s="65"/>
      <c r="LJ64" s="13"/>
      <c r="LK64" s="14"/>
      <c r="LM64" s="65">
        <f t="shared" si="159"/>
        <v>11</v>
      </c>
      <c r="LN64" s="13">
        <f t="shared" si="76"/>
        <v>745594.86960430839</v>
      </c>
      <c r="LO64" s="14">
        <v>43251</v>
      </c>
      <c r="LQ64" s="65"/>
      <c r="LR64" s="13"/>
      <c r="LS64" s="14"/>
      <c r="LU64" s="65"/>
      <c r="LV64" s="13"/>
      <c r="LW64" s="14"/>
      <c r="LY64" s="65"/>
      <c r="LZ64" s="13"/>
      <c r="MA64" s="14"/>
      <c r="MC64" s="65"/>
      <c r="MD64" s="13"/>
      <c r="ME64" s="14"/>
      <c r="MG64" s="65"/>
      <c r="MH64" s="13"/>
      <c r="MI64" s="14"/>
      <c r="MK64" s="65"/>
      <c r="ML64" s="13"/>
      <c r="MM64" s="14"/>
      <c r="MO64" s="65"/>
      <c r="MP64" s="13"/>
      <c r="MQ64" s="14"/>
      <c r="MS64" s="65"/>
      <c r="MT64" s="13"/>
      <c r="MU64" s="14"/>
    </row>
    <row r="65" spans="1:359" x14ac:dyDescent="0.25">
      <c r="A65" s="15">
        <f t="shared" si="1"/>
        <v>732954.29515605734</v>
      </c>
      <c r="B65" s="20">
        <v>42759</v>
      </c>
      <c r="D65" s="12">
        <v>111</v>
      </c>
      <c r="E65" s="17">
        <v>1141141.296625081</v>
      </c>
      <c r="F65" s="14">
        <v>42489</v>
      </c>
      <c r="I65" s="12"/>
      <c r="J65" s="13"/>
      <c r="K65" s="14"/>
      <c r="N65" s="12">
        <f t="shared" si="85"/>
        <v>41</v>
      </c>
      <c r="O65" s="13">
        <f t="shared" si="2"/>
        <v>732954.29515605734</v>
      </c>
      <c r="P65" s="14">
        <v>42759</v>
      </c>
      <c r="T65" s="15"/>
      <c r="U65" s="20"/>
      <c r="W65" s="12"/>
      <c r="X65" s="17"/>
      <c r="Y65" s="14"/>
      <c r="AB65" s="12"/>
      <c r="AC65" s="13"/>
      <c r="AD65" s="14"/>
      <c r="AG65" s="12"/>
      <c r="AH65" s="13"/>
      <c r="AI65" s="14"/>
      <c r="AK65" s="12"/>
      <c r="AL65" s="13"/>
      <c r="AM65" s="14"/>
      <c r="BQ65" s="65">
        <f t="shared" si="95"/>
        <v>0</v>
      </c>
      <c r="BR65" s="13">
        <f>($BS$2/(1+$BS$4*BQ65/360))*0</f>
        <v>0</v>
      </c>
      <c r="BS65" s="14">
        <v>43032</v>
      </c>
      <c r="BU65" s="65"/>
      <c r="BV65" s="13"/>
      <c r="BW65" s="14">
        <v>43041</v>
      </c>
      <c r="BY65" s="65"/>
      <c r="BZ65" s="13"/>
      <c r="CA65" s="14">
        <v>43041</v>
      </c>
      <c r="CC65" s="65"/>
      <c r="CD65" s="13"/>
      <c r="CE65" s="14">
        <v>43042</v>
      </c>
      <c r="CG65" s="65"/>
      <c r="CH65" s="13"/>
      <c r="CI65" s="14"/>
      <c r="CK65" s="65">
        <f t="shared" si="100"/>
        <v>9</v>
      </c>
      <c r="CL65" s="13">
        <f t="shared" si="17"/>
        <v>802137.39760039106</v>
      </c>
      <c r="CM65" s="14">
        <v>43046</v>
      </c>
      <c r="CO65" s="65"/>
      <c r="CP65" s="13"/>
      <c r="CQ65" s="14"/>
      <c r="CS65" s="65"/>
      <c r="CT65" s="13"/>
      <c r="CU65" s="14"/>
      <c r="CW65" s="65"/>
      <c r="CX65" s="13"/>
      <c r="CY65" s="14"/>
      <c r="DA65" s="65"/>
      <c r="DB65" s="13"/>
      <c r="DC65" s="14"/>
      <c r="DE65" s="65"/>
      <c r="DF65" s="13"/>
      <c r="DG65" s="14"/>
      <c r="DI65" s="65"/>
      <c r="DJ65" s="13"/>
      <c r="DK65" s="14"/>
      <c r="DM65" s="65"/>
      <c r="DN65" s="13"/>
      <c r="DO65" s="14"/>
      <c r="DQ65" s="65"/>
      <c r="DR65" s="13"/>
      <c r="DS65" s="14"/>
      <c r="DU65" s="65">
        <f t="shared" si="109"/>
        <v>35</v>
      </c>
      <c r="DV65" s="13">
        <f t="shared" si="26"/>
        <v>2334593.8066891488</v>
      </c>
      <c r="DW65" s="14">
        <v>43067</v>
      </c>
      <c r="DY65" s="65">
        <f t="shared" si="110"/>
        <v>46</v>
      </c>
      <c r="DZ65" s="13">
        <f t="shared" si="27"/>
        <v>793563.89517829346</v>
      </c>
      <c r="EA65" s="14">
        <v>43070</v>
      </c>
      <c r="EC65" s="65"/>
      <c r="ED65" s="13"/>
      <c r="EE65" s="14"/>
      <c r="EG65" s="65"/>
      <c r="EH65" s="13"/>
      <c r="EI65" s="14"/>
      <c r="EK65" s="65"/>
      <c r="EL65" s="13"/>
      <c r="EM65" s="14"/>
      <c r="EO65" s="65">
        <f t="shared" si="114"/>
        <v>20</v>
      </c>
      <c r="EP65" s="13">
        <f t="shared" si="31"/>
        <v>1282192.6910851966</v>
      </c>
      <c r="EQ65" s="14">
        <v>43082</v>
      </c>
      <c r="ES65" s="65"/>
      <c r="ET65" s="13"/>
      <c r="EU65" s="14"/>
      <c r="EW65" s="65"/>
      <c r="EX65" s="13"/>
      <c r="EY65" s="14"/>
      <c r="FA65" s="65">
        <f t="shared" si="117"/>
        <v>19</v>
      </c>
      <c r="FB65" s="13">
        <f t="shared" si="34"/>
        <v>1261772.2535815034</v>
      </c>
      <c r="FC65" s="14">
        <v>43089</v>
      </c>
      <c r="FE65" s="65">
        <f t="shared" si="118"/>
        <v>14</v>
      </c>
      <c r="FF65" s="13">
        <f t="shared" si="35"/>
        <v>3158225.4042946924</v>
      </c>
      <c r="FG65" s="14">
        <v>43089</v>
      </c>
      <c r="FI65" s="65">
        <f t="shared" si="119"/>
        <v>11</v>
      </c>
      <c r="FJ65" s="13">
        <f t="shared" si="36"/>
        <v>1744414.3899088439</v>
      </c>
      <c r="FK65" s="14">
        <v>43091</v>
      </c>
      <c r="FM65" s="65"/>
      <c r="FN65" s="13"/>
      <c r="FO65" s="14"/>
      <c r="FQ65" s="65"/>
      <c r="FR65" s="13"/>
      <c r="FS65" s="14"/>
      <c r="FU65" s="65"/>
      <c r="FV65" s="13"/>
      <c r="FW65" s="14"/>
      <c r="FY65" s="65"/>
      <c r="FZ65" s="13"/>
      <c r="GA65" s="14"/>
      <c r="GC65" s="65"/>
      <c r="GD65" s="13"/>
      <c r="GE65" s="14"/>
      <c r="GG65" s="65"/>
      <c r="GH65" s="13"/>
      <c r="GI65" s="14"/>
      <c r="GK65" s="65"/>
      <c r="GL65" s="13"/>
      <c r="GM65" s="14"/>
      <c r="GO65" s="65"/>
      <c r="GP65" s="13"/>
      <c r="GQ65" s="14"/>
      <c r="GS65" s="65"/>
      <c r="GT65" s="13"/>
      <c r="GU65" s="14"/>
      <c r="GW65" s="65"/>
      <c r="GX65" s="13"/>
      <c r="GY65" s="14"/>
      <c r="HA65" s="65"/>
      <c r="HB65" s="13"/>
      <c r="HC65" s="14"/>
      <c r="HE65" s="65"/>
      <c r="HF65" s="13"/>
      <c r="HG65" s="14"/>
      <c r="HI65" s="65"/>
      <c r="HJ65" s="13"/>
      <c r="HK65" s="14"/>
      <c r="HM65" s="65"/>
      <c r="HN65" s="13"/>
      <c r="HO65" s="14"/>
      <c r="HQ65" s="65"/>
      <c r="HR65" s="13"/>
      <c r="HS65" s="14"/>
      <c r="HU65" s="65"/>
      <c r="HV65" s="13"/>
      <c r="HW65" s="14"/>
      <c r="HY65" s="65"/>
      <c r="HZ65" s="13"/>
      <c r="IA65" s="14"/>
      <c r="IC65" s="65"/>
      <c r="ID65" s="13"/>
      <c r="IE65" s="14"/>
      <c r="IG65" s="65"/>
      <c r="IH65" s="13"/>
      <c r="II65" s="14"/>
      <c r="IK65" s="65"/>
      <c r="IL65" s="13"/>
      <c r="IM65" s="14"/>
      <c r="IO65" s="65"/>
      <c r="IP65" s="13"/>
      <c r="IQ65" s="14"/>
      <c r="IS65" s="65"/>
      <c r="IT65" s="13"/>
      <c r="IU65" s="14"/>
      <c r="IW65" s="65"/>
      <c r="IX65" s="13"/>
      <c r="IY65" s="14"/>
      <c r="JA65" s="65">
        <f t="shared" si="143"/>
        <v>1</v>
      </c>
      <c r="JB65" s="13">
        <f t="shared" si="60"/>
        <v>988708.41903699108</v>
      </c>
      <c r="JC65" s="14">
        <v>43165</v>
      </c>
      <c r="JE65" s="65"/>
      <c r="JF65" s="13"/>
      <c r="JG65" s="14"/>
      <c r="JI65" s="65"/>
      <c r="JJ65" s="13"/>
      <c r="JK65" s="14"/>
      <c r="JM65" s="65"/>
      <c r="JN65" s="13"/>
      <c r="JO65" s="14"/>
      <c r="JQ65" s="65"/>
      <c r="JR65" s="13"/>
      <c r="JS65" s="14"/>
      <c r="JU65" s="65">
        <f t="shared" si="148"/>
        <v>6</v>
      </c>
      <c r="JV65" s="13">
        <f t="shared" si="65"/>
        <v>1654875.0453573808</v>
      </c>
      <c r="JW65" s="14">
        <v>43187</v>
      </c>
      <c r="JY65" s="65"/>
      <c r="JZ65" s="13"/>
      <c r="KA65" s="14"/>
      <c r="KC65" s="65"/>
      <c r="KD65" s="13"/>
      <c r="KE65" s="14"/>
      <c r="KG65" s="65"/>
      <c r="KH65" s="13"/>
      <c r="KI65" s="14"/>
      <c r="KK65" s="65"/>
      <c r="KL65" s="13"/>
      <c r="KM65" s="14"/>
      <c r="KO65" s="65"/>
      <c r="KP65" s="13"/>
      <c r="KQ65" s="14"/>
      <c r="KS65" s="65"/>
      <c r="KT65" s="13"/>
      <c r="KU65" s="14"/>
      <c r="KW65" s="65"/>
      <c r="KX65" s="13"/>
      <c r="KY65" s="14"/>
      <c r="LA65" s="65">
        <f t="shared" si="156"/>
        <v>22</v>
      </c>
      <c r="LB65" s="13">
        <f t="shared" si="73"/>
        <v>2637994.8463377436</v>
      </c>
      <c r="LC65" s="14">
        <v>43242</v>
      </c>
      <c r="LE65" s="65"/>
      <c r="LF65" s="13"/>
      <c r="LG65" s="14"/>
      <c r="LI65" s="65"/>
      <c r="LJ65" s="13"/>
      <c r="LK65" s="14"/>
      <c r="LM65" s="65">
        <f t="shared" si="159"/>
        <v>10</v>
      </c>
      <c r="LN65" s="13">
        <f t="shared" si="76"/>
        <v>745648.21033633186</v>
      </c>
      <c r="LO65" s="14">
        <v>43252</v>
      </c>
      <c r="LQ65" s="65"/>
      <c r="LR65" s="13"/>
      <c r="LS65" s="14"/>
      <c r="LU65" s="65"/>
      <c r="LV65" s="13"/>
      <c r="LW65" s="14"/>
      <c r="LY65" s="65"/>
      <c r="LZ65" s="13"/>
      <c r="MA65" s="14"/>
      <c r="MC65" s="65"/>
      <c r="MD65" s="13"/>
      <c r="ME65" s="14"/>
      <c r="MG65" s="65"/>
      <c r="MH65" s="13"/>
      <c r="MI65" s="14"/>
      <c r="MK65" s="65"/>
      <c r="ML65" s="13"/>
      <c r="MM65" s="14"/>
      <c r="MO65" s="65"/>
      <c r="MP65" s="13"/>
      <c r="MQ65" s="14"/>
      <c r="MS65" s="65"/>
      <c r="MT65" s="13"/>
      <c r="MU65" s="14"/>
    </row>
    <row r="66" spans="1:359" x14ac:dyDescent="0.25">
      <c r="A66" s="15">
        <f t="shared" si="1"/>
        <v>732983.6673925434</v>
      </c>
      <c r="B66" s="20">
        <v>42760</v>
      </c>
      <c r="D66" s="12">
        <v>110</v>
      </c>
      <c r="E66" s="17">
        <v>1141168.463702928</v>
      </c>
      <c r="F66" s="14">
        <v>42490</v>
      </c>
      <c r="I66" s="12"/>
      <c r="J66" s="13"/>
      <c r="K66" s="14"/>
      <c r="N66" s="12">
        <f t="shared" si="85"/>
        <v>40</v>
      </c>
      <c r="O66" s="13">
        <f t="shared" si="2"/>
        <v>732983.6673925434</v>
      </c>
      <c r="P66" s="14">
        <v>42760</v>
      </c>
      <c r="T66" s="15"/>
      <c r="U66" s="20"/>
      <c r="W66" s="12"/>
      <c r="X66" s="17"/>
      <c r="Y66" s="14"/>
      <c r="AB66" s="12"/>
      <c r="AC66" s="13"/>
      <c r="AD66" s="14"/>
      <c r="AG66" s="12"/>
      <c r="AH66" s="13"/>
      <c r="AI66" s="14"/>
      <c r="AK66" s="12"/>
      <c r="AL66" s="13"/>
      <c r="AM66" s="14"/>
      <c r="CK66" s="65">
        <f t="shared" si="100"/>
        <v>8</v>
      </c>
      <c r="CL66" s="13">
        <f t="shared" si="17"/>
        <v>802175.23430021596</v>
      </c>
      <c r="CM66" s="14">
        <v>43047</v>
      </c>
      <c r="CO66" s="65"/>
      <c r="CP66" s="13"/>
      <c r="CQ66" s="14"/>
      <c r="CS66" s="65"/>
      <c r="CT66" s="13"/>
      <c r="CU66" s="14"/>
      <c r="CW66" s="65"/>
      <c r="CX66" s="13"/>
      <c r="CY66" s="14"/>
      <c r="DA66" s="65"/>
      <c r="DB66" s="13"/>
      <c r="DC66" s="14"/>
      <c r="DE66" s="65"/>
      <c r="DF66" s="13"/>
      <c r="DG66" s="14"/>
      <c r="DI66" s="65"/>
      <c r="DJ66" s="13"/>
      <c r="DK66" s="14"/>
      <c r="DM66" s="65"/>
      <c r="DN66" s="13"/>
      <c r="DO66" s="14"/>
      <c r="DQ66" s="65"/>
      <c r="DR66" s="13"/>
      <c r="DS66" s="14"/>
      <c r="DU66" s="65">
        <f t="shared" si="109"/>
        <v>34</v>
      </c>
      <c r="DV66" s="13">
        <f t="shared" si="26"/>
        <v>2334709.0539069693</v>
      </c>
      <c r="DW66" s="14">
        <v>43068</v>
      </c>
      <c r="DY66" s="65">
        <f t="shared" si="110"/>
        <v>45</v>
      </c>
      <c r="DZ66" s="13">
        <f t="shared" si="27"/>
        <v>793605.48746256263</v>
      </c>
      <c r="EA66" s="14">
        <v>43071</v>
      </c>
      <c r="EC66" s="65"/>
      <c r="ED66" s="13"/>
      <c r="EE66" s="14"/>
      <c r="EG66" s="65"/>
      <c r="EH66" s="13"/>
      <c r="EI66" s="14"/>
      <c r="EK66" s="65"/>
      <c r="EL66" s="13"/>
      <c r="EM66" s="14"/>
      <c r="EO66" s="65">
        <f t="shared" si="114"/>
        <v>19</v>
      </c>
      <c r="EP66" s="13">
        <f t="shared" si="31"/>
        <v>1282267.8252464803</v>
      </c>
      <c r="EQ66" s="14">
        <v>43083</v>
      </c>
      <c r="ES66" s="65"/>
      <c r="ET66" s="13"/>
      <c r="EU66" s="14"/>
      <c r="EW66" s="65"/>
      <c r="EX66" s="13"/>
      <c r="EY66" s="14"/>
      <c r="FA66" s="65">
        <f t="shared" si="117"/>
        <v>18</v>
      </c>
      <c r="FB66" s="13">
        <f t="shared" si="34"/>
        <v>1261847.5505549808</v>
      </c>
      <c r="FC66" s="14">
        <v>43090</v>
      </c>
      <c r="FE66" s="65">
        <f t="shared" si="118"/>
        <v>13</v>
      </c>
      <c r="FF66" s="13">
        <f t="shared" si="35"/>
        <v>3158402.4675625786</v>
      </c>
      <c r="FG66" s="14">
        <v>43090</v>
      </c>
      <c r="FI66" s="65">
        <f t="shared" si="119"/>
        <v>10</v>
      </c>
      <c r="FJ66" s="13">
        <f t="shared" si="36"/>
        <v>1744521.0551050757</v>
      </c>
      <c r="FK66" s="14">
        <v>43092</v>
      </c>
      <c r="FM66" s="65"/>
      <c r="FN66" s="13"/>
      <c r="FO66" s="14"/>
      <c r="FQ66" s="65"/>
      <c r="FR66" s="13"/>
      <c r="FS66" s="14"/>
      <c r="FU66" s="65"/>
      <c r="FV66" s="13"/>
      <c r="FW66" s="14"/>
      <c r="FY66" s="65"/>
      <c r="FZ66" s="13"/>
      <c r="GA66" s="14"/>
      <c r="GC66" s="65"/>
      <c r="GD66" s="13"/>
      <c r="GE66" s="14"/>
      <c r="GG66" s="65"/>
      <c r="GH66" s="13"/>
      <c r="GI66" s="14"/>
      <c r="GK66" s="65"/>
      <c r="GL66" s="13"/>
      <c r="GM66" s="14"/>
      <c r="GO66" s="65"/>
      <c r="GP66" s="13"/>
      <c r="GQ66" s="14"/>
      <c r="GS66" s="65"/>
      <c r="GT66" s="13"/>
      <c r="GU66" s="14"/>
      <c r="GW66" s="65"/>
      <c r="GX66" s="13"/>
      <c r="GY66" s="14"/>
      <c r="HA66" s="65"/>
      <c r="HB66" s="13"/>
      <c r="HC66" s="14"/>
      <c r="HE66" s="65"/>
      <c r="HF66" s="13"/>
      <c r="HG66" s="14"/>
      <c r="HI66" s="65"/>
      <c r="HJ66" s="13"/>
      <c r="HK66" s="14"/>
      <c r="HM66" s="65"/>
      <c r="HN66" s="13"/>
      <c r="HO66" s="14"/>
      <c r="HQ66" s="65"/>
      <c r="HR66" s="13"/>
      <c r="HS66" s="14"/>
      <c r="HU66" s="65"/>
      <c r="HV66" s="13"/>
      <c r="HW66" s="14"/>
      <c r="HY66" s="65"/>
      <c r="HZ66" s="13"/>
      <c r="IA66" s="14"/>
      <c r="IC66" s="65"/>
      <c r="ID66" s="13"/>
      <c r="IE66" s="14"/>
      <c r="IG66" s="65"/>
      <c r="IH66" s="13"/>
      <c r="II66" s="14"/>
      <c r="IK66" s="65"/>
      <c r="IL66" s="13"/>
      <c r="IM66" s="14"/>
      <c r="IO66" s="65"/>
      <c r="IP66" s="13"/>
      <c r="IQ66" s="14"/>
      <c r="IS66" s="65"/>
      <c r="IT66" s="13"/>
      <c r="IU66" s="14"/>
      <c r="IW66" s="65"/>
      <c r="IX66" s="13"/>
      <c r="IY66" s="14"/>
      <c r="JA66" s="65">
        <f t="shared" si="143"/>
        <v>0</v>
      </c>
      <c r="JB66" s="13">
        <f>($JC$2/(1+$JC$4*JA66/360))*0</f>
        <v>0</v>
      </c>
      <c r="JC66" s="14">
        <v>43166</v>
      </c>
      <c r="JE66" s="65"/>
      <c r="JF66" s="13"/>
      <c r="JG66" s="14"/>
      <c r="JI66" s="65"/>
      <c r="JJ66" s="13"/>
      <c r="JK66" s="14"/>
      <c r="JM66" s="65"/>
      <c r="JN66" s="13"/>
      <c r="JO66" s="14"/>
      <c r="JQ66" s="65"/>
      <c r="JR66" s="13"/>
      <c r="JS66" s="14"/>
      <c r="JU66" s="65">
        <f t="shared" si="148"/>
        <v>5</v>
      </c>
      <c r="JV66" s="13">
        <f t="shared" si="65"/>
        <v>1654977.8542155854</v>
      </c>
      <c r="JW66" s="14">
        <v>43188</v>
      </c>
      <c r="JY66" s="65"/>
      <c r="JZ66" s="13"/>
      <c r="KA66" s="14"/>
      <c r="KC66" s="65"/>
      <c r="KD66" s="13"/>
      <c r="KE66" s="14"/>
      <c r="KG66" s="65"/>
      <c r="KH66" s="13"/>
      <c r="KI66" s="14"/>
      <c r="KK66" s="65"/>
      <c r="KL66" s="13"/>
      <c r="KM66" s="14"/>
      <c r="KO66" s="65"/>
      <c r="KP66" s="13"/>
      <c r="KQ66" s="14"/>
      <c r="KS66" s="65"/>
      <c r="KT66" s="13"/>
      <c r="KU66" s="14"/>
      <c r="KW66" s="65"/>
      <c r="KX66" s="13"/>
      <c r="KY66" s="14"/>
      <c r="LA66" s="65">
        <f t="shared" si="156"/>
        <v>21</v>
      </c>
      <c r="LB66" s="13">
        <f t="shared" si="73"/>
        <v>2638196.767516199</v>
      </c>
      <c r="LC66" s="14">
        <v>43243</v>
      </c>
      <c r="LE66" s="65"/>
      <c r="LF66" s="13"/>
      <c r="LG66" s="14"/>
      <c r="LI66" s="65"/>
      <c r="LJ66" s="13"/>
      <c r="LK66" s="14"/>
      <c r="LM66" s="65">
        <f t="shared" si="159"/>
        <v>9</v>
      </c>
      <c r="LN66" s="13">
        <f t="shared" si="76"/>
        <v>745701.55870101869</v>
      </c>
      <c r="LO66" s="14">
        <v>43253</v>
      </c>
      <c r="LQ66" s="65"/>
      <c r="LR66" s="13"/>
      <c r="LS66" s="14"/>
      <c r="LU66" s="65"/>
      <c r="LV66" s="13"/>
      <c r="LW66" s="14"/>
      <c r="LY66" s="65"/>
      <c r="LZ66" s="13"/>
      <c r="MA66" s="14"/>
      <c r="MC66" s="65"/>
      <c r="MD66" s="13"/>
      <c r="ME66" s="14"/>
      <c r="MG66" s="65"/>
      <c r="MH66" s="13"/>
      <c r="MI66" s="14"/>
      <c r="MK66" s="65"/>
      <c r="ML66" s="13"/>
      <c r="MM66" s="14"/>
      <c r="MO66" s="65"/>
      <c r="MP66" s="13"/>
      <c r="MQ66" s="14"/>
      <c r="MS66" s="65"/>
      <c r="MT66" s="13"/>
      <c r="MU66" s="14"/>
    </row>
    <row r="67" spans="1:359" x14ac:dyDescent="0.25">
      <c r="A67" s="15">
        <f t="shared" si="1"/>
        <v>733013.04198323586</v>
      </c>
      <c r="B67" s="20">
        <v>42761</v>
      </c>
      <c r="D67" s="12">
        <v>109</v>
      </c>
      <c r="E67" s="17">
        <v>1141195.6320743356</v>
      </c>
      <c r="F67" s="14">
        <v>42491</v>
      </c>
      <c r="I67" s="12"/>
      <c r="J67" s="13"/>
      <c r="K67" s="14"/>
      <c r="N67" s="12">
        <f t="shared" si="85"/>
        <v>39</v>
      </c>
      <c r="O67" s="13">
        <f t="shared" si="2"/>
        <v>733013.04198323586</v>
      </c>
      <c r="P67" s="14">
        <v>42761</v>
      </c>
      <c r="T67" s="15"/>
      <c r="U67" s="20"/>
      <c r="W67" s="12"/>
      <c r="X67" s="17"/>
      <c r="Y67" s="14"/>
      <c r="AB67" s="12"/>
      <c r="AC67" s="13"/>
      <c r="AD67" s="14"/>
      <c r="AG67" s="12"/>
      <c r="AH67" s="13"/>
      <c r="AI67" s="14"/>
      <c r="AK67" s="12"/>
      <c r="AL67" s="13"/>
      <c r="AM67" s="14"/>
      <c r="CK67" s="65">
        <f t="shared" si="100"/>
        <v>7</v>
      </c>
      <c r="CL67" s="13">
        <f t="shared" si="17"/>
        <v>802213.07456971216</v>
      </c>
      <c r="CM67" s="14">
        <v>43048</v>
      </c>
      <c r="CO67" s="65"/>
      <c r="CP67" s="13"/>
      <c r="CQ67" s="14"/>
      <c r="CS67" s="65"/>
      <c r="CT67" s="13"/>
      <c r="CU67" s="14"/>
      <c r="CW67" s="65"/>
      <c r="CX67" s="13"/>
      <c r="CY67" s="14"/>
      <c r="DA67" s="65"/>
      <c r="DB67" s="13"/>
      <c r="DC67" s="14"/>
      <c r="DE67" s="65"/>
      <c r="DF67" s="13"/>
      <c r="DG67" s="14"/>
      <c r="DI67" s="65"/>
      <c r="DJ67" s="13"/>
      <c r="DK67" s="14"/>
      <c r="DM67" s="65"/>
      <c r="DN67" s="13"/>
      <c r="DO67" s="14"/>
      <c r="DQ67" s="65"/>
      <c r="DR67" s="13"/>
      <c r="DS67" s="14"/>
      <c r="DU67" s="65">
        <f t="shared" si="109"/>
        <v>33</v>
      </c>
      <c r="DV67" s="13">
        <f t="shared" si="26"/>
        <v>2334824.3125037085</v>
      </c>
      <c r="DW67" s="14">
        <v>43069</v>
      </c>
      <c r="DY67" s="65">
        <f t="shared" si="110"/>
        <v>44</v>
      </c>
      <c r="DZ67" s="13">
        <f t="shared" si="27"/>
        <v>793647.08410693111</v>
      </c>
      <c r="EA67" s="14">
        <v>43072</v>
      </c>
      <c r="EC67" s="65"/>
      <c r="ED67" s="13"/>
      <c r="EE67" s="14"/>
      <c r="EG67" s="65"/>
      <c r="EH67" s="13"/>
      <c r="EI67" s="14"/>
      <c r="EK67" s="65"/>
      <c r="EL67" s="13"/>
      <c r="EM67" s="14"/>
      <c r="EO67" s="65">
        <f t="shared" si="114"/>
        <v>18</v>
      </c>
      <c r="EP67" s="13">
        <f t="shared" si="31"/>
        <v>1282342.9682137307</v>
      </c>
      <c r="EQ67" s="14">
        <v>43084</v>
      </c>
      <c r="ES67" s="65"/>
      <c r="ET67" s="13"/>
      <c r="EU67" s="14"/>
      <c r="EW67" s="65"/>
      <c r="EX67" s="13"/>
      <c r="EY67" s="14"/>
      <c r="FA67" s="65">
        <f t="shared" si="117"/>
        <v>17</v>
      </c>
      <c r="FB67" s="13">
        <f t="shared" si="34"/>
        <v>1261922.8565157736</v>
      </c>
      <c r="FC67" s="14">
        <v>43091</v>
      </c>
      <c r="FE67" s="65">
        <f t="shared" si="118"/>
        <v>12</v>
      </c>
      <c r="FF67" s="13">
        <f t="shared" si="35"/>
        <v>3158579.5506853871</v>
      </c>
      <c r="FG67" s="14">
        <v>43091</v>
      </c>
      <c r="FI67" s="65">
        <f t="shared" si="119"/>
        <v>9</v>
      </c>
      <c r="FJ67" s="13">
        <f t="shared" si="36"/>
        <v>1744627.7333465563</v>
      </c>
      <c r="FK67" s="14">
        <v>43093</v>
      </c>
      <c r="FM67" s="65"/>
      <c r="FN67" s="13"/>
      <c r="FO67" s="14"/>
      <c r="FQ67" s="65"/>
      <c r="FR67" s="13"/>
      <c r="FS67" s="14"/>
      <c r="FU67" s="65"/>
      <c r="FV67" s="13"/>
      <c r="FW67" s="14"/>
      <c r="FY67" s="65"/>
      <c r="FZ67" s="13"/>
      <c r="GA67" s="14"/>
      <c r="GC67" s="65"/>
      <c r="GD67" s="13"/>
      <c r="GE67" s="14"/>
      <c r="GG67" s="65"/>
      <c r="GH67" s="13"/>
      <c r="GI67" s="14"/>
      <c r="GK67" s="65"/>
      <c r="GL67" s="13"/>
      <c r="GM67" s="14"/>
      <c r="GO67" s="65"/>
      <c r="GP67" s="13"/>
      <c r="GQ67" s="14"/>
      <c r="GS67" s="65"/>
      <c r="GT67" s="13"/>
      <c r="GU67" s="14"/>
      <c r="GW67" s="65"/>
      <c r="GX67" s="13"/>
      <c r="GY67" s="14"/>
      <c r="HA67" s="65"/>
      <c r="HB67" s="13"/>
      <c r="HC67" s="14"/>
      <c r="HE67" s="65"/>
      <c r="HF67" s="13"/>
      <c r="HG67" s="14"/>
      <c r="HI67" s="65"/>
      <c r="HJ67" s="13"/>
      <c r="HK67" s="14"/>
      <c r="HM67" s="65"/>
      <c r="HN67" s="13"/>
      <c r="HO67" s="14"/>
      <c r="HQ67" s="65"/>
      <c r="HR67" s="13"/>
      <c r="HS67" s="14"/>
      <c r="HU67" s="65"/>
      <c r="HV67" s="13"/>
      <c r="HW67" s="14"/>
      <c r="HY67" s="65"/>
      <c r="HZ67" s="13"/>
      <c r="IA67" s="14"/>
      <c r="IC67" s="65"/>
      <c r="ID67" s="13"/>
      <c r="IE67" s="14"/>
      <c r="IG67" s="65"/>
      <c r="IH67" s="13"/>
      <c r="II67" s="14"/>
      <c r="IK67" s="65"/>
      <c r="IL67" s="13"/>
      <c r="IM67" s="14"/>
      <c r="IO67" s="65"/>
      <c r="IP67" s="13"/>
      <c r="IQ67" s="14"/>
      <c r="IS67" s="65"/>
      <c r="IT67" s="13"/>
      <c r="IU67" s="14"/>
      <c r="IW67" s="65"/>
      <c r="IX67" s="13"/>
      <c r="IY67" s="14"/>
      <c r="JA67" s="65"/>
      <c r="JB67" s="13"/>
      <c r="JC67" s="14"/>
      <c r="JE67" s="65"/>
      <c r="JF67" s="13"/>
      <c r="JG67" s="14"/>
      <c r="JI67" s="65"/>
      <c r="JJ67" s="13"/>
      <c r="JK67" s="14"/>
      <c r="JM67" s="65"/>
      <c r="JN67" s="13"/>
      <c r="JO67" s="14"/>
      <c r="JQ67" s="65"/>
      <c r="JR67" s="13"/>
      <c r="JS67" s="14"/>
      <c r="JU67" s="65">
        <f t="shared" si="148"/>
        <v>4</v>
      </c>
      <c r="JV67" s="13">
        <f t="shared" si="65"/>
        <v>1655080.6758485525</v>
      </c>
      <c r="JW67" s="14">
        <v>43189</v>
      </c>
      <c r="JY67" s="65"/>
      <c r="JZ67" s="13"/>
      <c r="KA67" s="14"/>
      <c r="KC67" s="65"/>
      <c r="KD67" s="13"/>
      <c r="KE67" s="14"/>
      <c r="KG67" s="65"/>
      <c r="KH67" s="13"/>
      <c r="KI67" s="14"/>
      <c r="KK67" s="65"/>
      <c r="KL67" s="13"/>
      <c r="KM67" s="14"/>
      <c r="KO67" s="65"/>
      <c r="KP67" s="13"/>
      <c r="KQ67" s="14"/>
      <c r="KS67" s="65"/>
      <c r="KT67" s="13"/>
      <c r="KU67" s="14"/>
      <c r="KW67" s="65"/>
      <c r="KX67" s="13"/>
      <c r="KY67" s="14"/>
      <c r="LA67" s="65">
        <f t="shared" si="156"/>
        <v>20</v>
      </c>
      <c r="LB67" s="13">
        <f t="shared" si="73"/>
        <v>2638398.7196085001</v>
      </c>
      <c r="LC67" s="14">
        <v>43244</v>
      </c>
      <c r="LE67" s="65"/>
      <c r="LF67" s="13"/>
      <c r="LG67" s="14"/>
      <c r="LI67" s="65"/>
      <c r="LJ67" s="13"/>
      <c r="LK67" s="14"/>
      <c r="LM67" s="65">
        <f t="shared" si="159"/>
        <v>8</v>
      </c>
      <c r="LN67" s="13">
        <f t="shared" si="76"/>
        <v>745754.91470000695</v>
      </c>
      <c r="LO67" s="14">
        <v>43254</v>
      </c>
      <c r="LQ67" s="65"/>
      <c r="LR67" s="13"/>
      <c r="LS67" s="14"/>
      <c r="LU67" s="65"/>
      <c r="LV67" s="13"/>
      <c r="LW67" s="14"/>
      <c r="LY67" s="65"/>
      <c r="LZ67" s="13"/>
      <c r="MA67" s="14"/>
      <c r="MC67" s="65"/>
      <c r="MD67" s="13"/>
      <c r="ME67" s="14"/>
      <c r="MG67" s="65"/>
      <c r="MH67" s="13"/>
      <c r="MI67" s="14"/>
      <c r="MK67" s="65"/>
      <c r="ML67" s="13"/>
      <c r="MM67" s="14"/>
      <c r="MO67" s="65"/>
      <c r="MP67" s="13"/>
      <c r="MQ67" s="14"/>
      <c r="MS67" s="65"/>
      <c r="MT67" s="13"/>
      <c r="MU67" s="14"/>
    </row>
    <row r="68" spans="1:359" x14ac:dyDescent="0.25">
      <c r="A68" s="15">
        <f t="shared" si="1"/>
        <v>733042.41892841784</v>
      </c>
      <c r="B68" s="20">
        <v>42762</v>
      </c>
      <c r="D68" s="12">
        <v>108</v>
      </c>
      <c r="E68" s="17">
        <v>1141222.8017393961</v>
      </c>
      <c r="F68" s="14">
        <v>42492</v>
      </c>
      <c r="I68" s="12"/>
      <c r="J68" s="13"/>
      <c r="K68" s="14"/>
      <c r="N68" s="12">
        <f t="shared" si="85"/>
        <v>38</v>
      </c>
      <c r="O68" s="13">
        <f t="shared" si="2"/>
        <v>733042.41892841784</v>
      </c>
      <c r="P68" s="14">
        <v>42762</v>
      </c>
      <c r="T68" s="15"/>
      <c r="U68" s="20"/>
      <c r="W68" s="12"/>
      <c r="X68" s="17"/>
      <c r="Y68" s="14"/>
      <c r="AB68" s="12"/>
      <c r="AC68" s="13"/>
      <c r="AD68" s="14"/>
      <c r="AG68" s="12"/>
      <c r="AH68" s="13"/>
      <c r="AI68" s="14"/>
      <c r="AK68" s="12"/>
      <c r="AL68" s="13"/>
      <c r="AM68" s="14"/>
      <c r="CK68" s="65">
        <f t="shared" si="100"/>
        <v>6</v>
      </c>
      <c r="CL68" s="13">
        <f t="shared" si="17"/>
        <v>802250.91840938455</v>
      </c>
      <c r="CM68" s="14">
        <v>43049</v>
      </c>
      <c r="CO68" s="65"/>
      <c r="CP68" s="13"/>
      <c r="CQ68" s="14"/>
      <c r="CS68" s="65"/>
      <c r="CT68" s="13"/>
      <c r="CU68" s="14"/>
      <c r="CW68" s="65"/>
      <c r="CX68" s="13"/>
      <c r="CY68" s="14"/>
      <c r="DA68" s="65"/>
      <c r="DB68" s="13"/>
      <c r="DC68" s="14"/>
      <c r="DE68" s="65"/>
      <c r="DF68" s="13"/>
      <c r="DG68" s="14"/>
      <c r="DI68" s="65"/>
      <c r="DJ68" s="13"/>
      <c r="DK68" s="14"/>
      <c r="DM68" s="65"/>
      <c r="DN68" s="13"/>
      <c r="DO68" s="14"/>
      <c r="DQ68" s="65"/>
      <c r="DR68" s="13"/>
      <c r="DS68" s="14"/>
      <c r="DU68" s="65">
        <f t="shared" si="109"/>
        <v>32</v>
      </c>
      <c r="DV68" s="13">
        <f t="shared" si="26"/>
        <v>2334939.5824810523</v>
      </c>
      <c r="DW68" s="14">
        <v>43070</v>
      </c>
      <c r="DY68" s="65">
        <f t="shared" si="110"/>
        <v>43</v>
      </c>
      <c r="DZ68" s="13">
        <f t="shared" si="27"/>
        <v>793688.68511208496</v>
      </c>
      <c r="EA68" s="14">
        <v>43073</v>
      </c>
      <c r="EC68" s="65"/>
      <c r="ED68" s="13"/>
      <c r="EE68" s="14"/>
      <c r="EG68" s="65"/>
      <c r="EH68" s="13"/>
      <c r="EI68" s="14"/>
      <c r="EK68" s="65"/>
      <c r="EL68" s="13"/>
      <c r="EM68" s="14"/>
      <c r="EO68" s="65">
        <f t="shared" si="114"/>
        <v>17</v>
      </c>
      <c r="EP68" s="13">
        <f t="shared" si="31"/>
        <v>1282418.1199884964</v>
      </c>
      <c r="EQ68" s="14">
        <v>43085</v>
      </c>
      <c r="ES68" s="65"/>
      <c r="ET68" s="13"/>
      <c r="EU68" s="14"/>
      <c r="EW68" s="65"/>
      <c r="EX68" s="13"/>
      <c r="EY68" s="14"/>
      <c r="FA68" s="65">
        <f t="shared" si="117"/>
        <v>16</v>
      </c>
      <c r="FB68" s="13">
        <f t="shared" si="34"/>
        <v>1261998.1714654909</v>
      </c>
      <c r="FC68" s="14">
        <v>43092</v>
      </c>
      <c r="FE68" s="65">
        <f t="shared" si="118"/>
        <v>11</v>
      </c>
      <c r="FF68" s="13">
        <f t="shared" si="35"/>
        <v>3158756.6536664558</v>
      </c>
      <c r="FG68" s="14">
        <v>43092</v>
      </c>
      <c r="FI68" s="65">
        <f t="shared" si="119"/>
        <v>8</v>
      </c>
      <c r="FJ68" s="13">
        <f t="shared" si="36"/>
        <v>1744734.4246356788</v>
      </c>
      <c r="FK68" s="14">
        <v>43094</v>
      </c>
      <c r="FM68" s="65"/>
      <c r="FN68" s="13"/>
      <c r="FO68" s="14"/>
      <c r="FQ68" s="65"/>
      <c r="FR68" s="13"/>
      <c r="FS68" s="14"/>
      <c r="FU68" s="65"/>
      <c r="FV68" s="13"/>
      <c r="FW68" s="14"/>
      <c r="FY68" s="65"/>
      <c r="FZ68" s="13"/>
      <c r="GA68" s="14"/>
      <c r="GC68" s="65"/>
      <c r="GD68" s="13"/>
      <c r="GE68" s="14"/>
      <c r="GG68" s="65"/>
      <c r="GH68" s="13"/>
      <c r="GI68" s="14"/>
      <c r="GK68" s="65"/>
      <c r="GL68" s="13"/>
      <c r="GM68" s="14"/>
      <c r="GO68" s="65"/>
      <c r="GP68" s="13"/>
      <c r="GQ68" s="14"/>
      <c r="GS68" s="65"/>
      <c r="GT68" s="13"/>
      <c r="GU68" s="14"/>
      <c r="GW68" s="65"/>
      <c r="GX68" s="13"/>
      <c r="GY68" s="14"/>
      <c r="HA68" s="65"/>
      <c r="HB68" s="13"/>
      <c r="HC68" s="14"/>
      <c r="HE68" s="65"/>
      <c r="HF68" s="13"/>
      <c r="HG68" s="14"/>
      <c r="HI68" s="65"/>
      <c r="HJ68" s="13"/>
      <c r="HK68" s="14"/>
      <c r="HM68" s="65"/>
      <c r="HN68" s="13"/>
      <c r="HO68" s="14"/>
      <c r="HQ68" s="65"/>
      <c r="HR68" s="13"/>
      <c r="HS68" s="14"/>
      <c r="HU68" s="65"/>
      <c r="HV68" s="13"/>
      <c r="HW68" s="14"/>
      <c r="HY68" s="65"/>
      <c r="HZ68" s="13"/>
      <c r="IA68" s="14"/>
      <c r="IC68" s="65"/>
      <c r="ID68" s="13"/>
      <c r="IE68" s="14"/>
      <c r="IG68" s="65"/>
      <c r="IH68" s="13"/>
      <c r="II68" s="14"/>
      <c r="IK68" s="65"/>
      <c r="IL68" s="13"/>
      <c r="IM68" s="14"/>
      <c r="IO68" s="65"/>
      <c r="IP68" s="13"/>
      <c r="IQ68" s="14"/>
      <c r="IS68" s="65"/>
      <c r="IT68" s="13"/>
      <c r="IU68" s="14"/>
      <c r="IW68" s="65"/>
      <c r="IX68" s="13"/>
      <c r="IY68" s="14"/>
      <c r="JA68" s="65"/>
      <c r="JB68" s="13"/>
      <c r="JC68" s="14"/>
      <c r="JE68" s="65"/>
      <c r="JF68" s="13"/>
      <c r="JG68" s="14"/>
      <c r="JI68" s="65"/>
      <c r="JJ68" s="13"/>
      <c r="JK68" s="14"/>
      <c r="JM68" s="65"/>
      <c r="JN68" s="13"/>
      <c r="JO68" s="14"/>
      <c r="JQ68" s="65"/>
      <c r="JR68" s="13"/>
      <c r="JS68" s="14"/>
      <c r="JU68" s="65">
        <f t="shared" si="148"/>
        <v>3</v>
      </c>
      <c r="JV68" s="13">
        <f t="shared" si="65"/>
        <v>1655183.5102586634</v>
      </c>
      <c r="JW68" s="14">
        <v>43190</v>
      </c>
      <c r="JY68" s="65"/>
      <c r="JZ68" s="13"/>
      <c r="KA68" s="14"/>
      <c r="KC68" s="65"/>
      <c r="KD68" s="13"/>
      <c r="KE68" s="14"/>
      <c r="KG68" s="65"/>
      <c r="KH68" s="13"/>
      <c r="KI68" s="14"/>
      <c r="KK68" s="65"/>
      <c r="KL68" s="13"/>
      <c r="KM68" s="14"/>
      <c r="KO68" s="65"/>
      <c r="KP68" s="13"/>
      <c r="KQ68" s="14"/>
      <c r="KS68" s="65"/>
      <c r="KT68" s="13"/>
      <c r="KU68" s="14"/>
      <c r="KW68" s="65"/>
      <c r="KX68" s="13"/>
      <c r="KY68" s="14"/>
      <c r="LA68" s="65">
        <f t="shared" si="156"/>
        <v>19</v>
      </c>
      <c r="LB68" s="13">
        <f t="shared" si="73"/>
        <v>2638600.7026217477</v>
      </c>
      <c r="LC68" s="14">
        <v>43245</v>
      </c>
      <c r="LE68" s="65"/>
      <c r="LF68" s="13"/>
      <c r="LG68" s="14"/>
      <c r="LI68" s="65"/>
      <c r="LJ68" s="13"/>
      <c r="LK68" s="14"/>
      <c r="LM68" s="65">
        <f t="shared" si="159"/>
        <v>7</v>
      </c>
      <c r="LN68" s="13">
        <f t="shared" si="76"/>
        <v>745808.27833493578</v>
      </c>
      <c r="LO68" s="14">
        <v>43255</v>
      </c>
      <c r="LQ68" s="65"/>
      <c r="LR68" s="13"/>
      <c r="LS68" s="14"/>
      <c r="LU68" s="65"/>
      <c r="LV68" s="13"/>
      <c r="LW68" s="14"/>
      <c r="LY68" s="65"/>
      <c r="LZ68" s="13"/>
      <c r="MA68" s="14"/>
      <c r="MC68" s="65"/>
      <c r="MD68" s="13"/>
      <c r="ME68" s="14"/>
      <c r="MG68" s="65"/>
      <c r="MH68" s="13"/>
      <c r="MI68" s="14"/>
      <c r="MK68" s="65"/>
      <c r="ML68" s="13"/>
      <c r="MM68" s="14"/>
      <c r="MO68" s="65"/>
      <c r="MP68" s="13"/>
      <c r="MQ68" s="14"/>
      <c r="MS68" s="65"/>
      <c r="MT68" s="13"/>
      <c r="MU68" s="14"/>
    </row>
    <row r="69" spans="1:359" x14ac:dyDescent="0.25">
      <c r="A69" s="15">
        <f t="shared" si="1"/>
        <v>733071.79822837235</v>
      </c>
      <c r="B69" s="20">
        <v>42763</v>
      </c>
      <c r="D69" s="12">
        <v>107</v>
      </c>
      <c r="E69" s="17">
        <v>1141249.9726982019</v>
      </c>
      <c r="F69" s="14">
        <v>42493</v>
      </c>
      <c r="I69" s="12"/>
      <c r="J69" s="13"/>
      <c r="K69" s="14"/>
      <c r="N69" s="12">
        <f t="shared" si="85"/>
        <v>37</v>
      </c>
      <c r="O69" s="13">
        <f t="shared" si="2"/>
        <v>733071.79822837235</v>
      </c>
      <c r="P69" s="14">
        <v>42763</v>
      </c>
      <c r="T69" s="15"/>
      <c r="U69" s="20"/>
      <c r="W69" s="12"/>
      <c r="X69" s="17"/>
      <c r="Y69" s="14"/>
      <c r="AB69" s="12"/>
      <c r="AC69" s="13"/>
      <c r="AD69" s="14"/>
      <c r="AG69" s="12"/>
      <c r="AH69" s="13"/>
      <c r="AI69" s="14"/>
      <c r="AK69" s="12"/>
      <c r="AL69" s="13"/>
      <c r="AM69" s="14"/>
      <c r="CK69" s="65">
        <f t="shared" si="100"/>
        <v>5</v>
      </c>
      <c r="CL69" s="13">
        <f t="shared" si="17"/>
        <v>802288.76581973897</v>
      </c>
      <c r="CM69" s="14">
        <v>43050</v>
      </c>
      <c r="CO69" s="65"/>
      <c r="CP69" s="13"/>
      <c r="CQ69" s="14"/>
      <c r="CS69" s="65"/>
      <c r="CT69" s="13"/>
      <c r="CU69" s="14"/>
      <c r="CW69" s="65"/>
      <c r="CX69" s="13"/>
      <c r="CY69" s="14"/>
      <c r="DA69" s="65"/>
      <c r="DB69" s="13"/>
      <c r="DC69" s="14"/>
      <c r="DE69" s="65"/>
      <c r="DF69" s="13"/>
      <c r="DG69" s="14"/>
      <c r="DI69" s="65"/>
      <c r="DJ69" s="13"/>
      <c r="DK69" s="14"/>
      <c r="DM69" s="65"/>
      <c r="DN69" s="13"/>
      <c r="DO69" s="14"/>
      <c r="DQ69" s="65"/>
      <c r="DR69" s="13"/>
      <c r="DS69" s="14"/>
      <c r="DU69" s="65">
        <f t="shared" si="109"/>
        <v>31</v>
      </c>
      <c r="DV69" s="13">
        <f t="shared" si="26"/>
        <v>2335054.8638406857</v>
      </c>
      <c r="DW69" s="14">
        <v>43071</v>
      </c>
      <c r="DY69" s="65">
        <f t="shared" si="110"/>
        <v>42</v>
      </c>
      <c r="DZ69" s="13">
        <f t="shared" si="27"/>
        <v>793730.29047870962</v>
      </c>
      <c r="EA69" s="14">
        <v>43074</v>
      </c>
      <c r="EC69" s="65"/>
      <c r="ED69" s="13"/>
      <c r="EE69" s="14"/>
      <c r="EG69" s="65"/>
      <c r="EH69" s="13"/>
      <c r="EI69" s="14"/>
      <c r="EK69" s="65"/>
      <c r="EL69" s="13"/>
      <c r="EM69" s="14"/>
      <c r="EO69" s="65">
        <f t="shared" si="114"/>
        <v>16</v>
      </c>
      <c r="EP69" s="13">
        <f t="shared" si="31"/>
        <v>1282493.2805723252</v>
      </c>
      <c r="EQ69" s="14">
        <v>43086</v>
      </c>
      <c r="ES69" s="65"/>
      <c r="ET69" s="13"/>
      <c r="EU69" s="14"/>
      <c r="EW69" s="65"/>
      <c r="EX69" s="13"/>
      <c r="EY69" s="14"/>
      <c r="FA69" s="65">
        <f t="shared" si="117"/>
        <v>15</v>
      </c>
      <c r="FB69" s="13">
        <f t="shared" si="34"/>
        <v>1262073.4954057422</v>
      </c>
      <c r="FC69" s="14">
        <v>43093</v>
      </c>
      <c r="FE69" s="65">
        <f t="shared" si="118"/>
        <v>10</v>
      </c>
      <c r="FF69" s="13">
        <f t="shared" si="35"/>
        <v>3158933.7765091271</v>
      </c>
      <c r="FG69" s="14">
        <v>43093</v>
      </c>
      <c r="FI69" s="65">
        <f t="shared" si="119"/>
        <v>7</v>
      </c>
      <c r="FJ69" s="13">
        <f t="shared" si="36"/>
        <v>1744841.1289748373</v>
      </c>
      <c r="FK69" s="14">
        <v>43095</v>
      </c>
      <c r="FM69" s="65"/>
      <c r="FN69" s="13"/>
      <c r="FO69" s="14"/>
      <c r="FQ69" s="65"/>
      <c r="FR69" s="13"/>
      <c r="FS69" s="14"/>
      <c r="FU69" s="65"/>
      <c r="FV69" s="13"/>
      <c r="FW69" s="14"/>
      <c r="FY69" s="65"/>
      <c r="FZ69" s="13"/>
      <c r="GA69" s="14"/>
      <c r="GC69" s="65"/>
      <c r="GD69" s="13"/>
      <c r="GE69" s="14"/>
      <c r="GG69" s="65"/>
      <c r="GH69" s="13"/>
      <c r="GI69" s="14"/>
      <c r="GK69" s="65"/>
      <c r="GL69" s="13"/>
      <c r="GM69" s="14"/>
      <c r="GO69" s="65"/>
      <c r="GP69" s="13"/>
      <c r="GQ69" s="14"/>
      <c r="GS69" s="65"/>
      <c r="GT69" s="13"/>
      <c r="GU69" s="14"/>
      <c r="GW69" s="65"/>
      <c r="GX69" s="13"/>
      <c r="GY69" s="14"/>
      <c r="HA69" s="65"/>
      <c r="HB69" s="13"/>
      <c r="HC69" s="14"/>
      <c r="HE69" s="65"/>
      <c r="HF69" s="13"/>
      <c r="HG69" s="14"/>
      <c r="HI69" s="65"/>
      <c r="HJ69" s="13"/>
      <c r="HK69" s="14"/>
      <c r="HM69" s="65"/>
      <c r="HN69" s="13"/>
      <c r="HO69" s="14"/>
      <c r="HQ69" s="65"/>
      <c r="HR69" s="13"/>
      <c r="HS69" s="14"/>
      <c r="HU69" s="65"/>
      <c r="HV69" s="13"/>
      <c r="HW69" s="14"/>
      <c r="HY69" s="65"/>
      <c r="HZ69" s="13"/>
      <c r="IA69" s="14"/>
      <c r="IC69" s="65"/>
      <c r="ID69" s="13"/>
      <c r="IE69" s="14"/>
      <c r="IG69" s="65"/>
      <c r="IH69" s="13"/>
      <c r="II69" s="14"/>
      <c r="IK69" s="65"/>
      <c r="IL69" s="13"/>
      <c r="IM69" s="14"/>
      <c r="IO69" s="65"/>
      <c r="IP69" s="13"/>
      <c r="IQ69" s="14"/>
      <c r="IS69" s="65"/>
      <c r="IT69" s="13"/>
      <c r="IU69" s="14"/>
      <c r="IW69" s="65"/>
      <c r="IX69" s="13"/>
      <c r="IY69" s="14"/>
      <c r="JA69" s="65"/>
      <c r="JB69" s="13"/>
      <c r="JC69" s="14"/>
      <c r="JE69" s="65"/>
      <c r="JF69" s="13"/>
      <c r="JG69" s="14"/>
      <c r="JI69" s="65"/>
      <c r="JJ69" s="13"/>
      <c r="JK69" s="14"/>
      <c r="JM69" s="65"/>
      <c r="JN69" s="13"/>
      <c r="JO69" s="14"/>
      <c r="JQ69" s="65"/>
      <c r="JR69" s="13"/>
      <c r="JS69" s="14"/>
      <c r="JU69" s="65">
        <f t="shared" si="148"/>
        <v>2</v>
      </c>
      <c r="JV69" s="13">
        <f t="shared" si="65"/>
        <v>1655286.3574482999</v>
      </c>
      <c r="JW69" s="14">
        <v>43191</v>
      </c>
      <c r="JY69" s="65"/>
      <c r="JZ69" s="13"/>
      <c r="KA69" s="14"/>
      <c r="KC69" s="65"/>
      <c r="KD69" s="13"/>
      <c r="KE69" s="14"/>
      <c r="KG69" s="65"/>
      <c r="KH69" s="13"/>
      <c r="KI69" s="14"/>
      <c r="KK69" s="65"/>
      <c r="KL69" s="13"/>
      <c r="KM69" s="14"/>
      <c r="KO69" s="65"/>
      <c r="KP69" s="13"/>
      <c r="KQ69" s="14"/>
      <c r="KS69" s="65"/>
      <c r="KT69" s="13"/>
      <c r="KU69" s="14"/>
      <c r="KW69" s="65"/>
      <c r="KX69" s="13"/>
      <c r="KY69" s="14"/>
      <c r="LA69" s="65">
        <f t="shared" si="156"/>
        <v>18</v>
      </c>
      <c r="LB69" s="13">
        <f t="shared" si="73"/>
        <v>2638802.7165630432</v>
      </c>
      <c r="LC69" s="14">
        <v>43246</v>
      </c>
      <c r="LE69" s="65"/>
      <c r="LF69" s="13"/>
      <c r="LG69" s="14"/>
      <c r="LI69" s="65"/>
      <c r="LJ69" s="13"/>
      <c r="LK69" s="14"/>
      <c r="LM69" s="65">
        <f t="shared" si="159"/>
        <v>6</v>
      </c>
      <c r="LN69" s="13">
        <f t="shared" si="76"/>
        <v>745861.64960744441</v>
      </c>
      <c r="LO69" s="14">
        <v>43256</v>
      </c>
      <c r="LQ69" s="65"/>
      <c r="LR69" s="13"/>
      <c r="LS69" s="14"/>
      <c r="LU69" s="65"/>
      <c r="LV69" s="13"/>
      <c r="LW69" s="14"/>
      <c r="LY69" s="65"/>
      <c r="LZ69" s="13"/>
      <c r="MA69" s="14"/>
      <c r="MC69" s="65"/>
      <c r="MD69" s="13"/>
      <c r="ME69" s="14"/>
      <c r="MG69" s="65"/>
      <c r="MH69" s="13"/>
      <c r="MI69" s="14"/>
      <c r="MK69" s="65"/>
      <c r="ML69" s="13"/>
      <c r="MM69" s="14"/>
      <c r="MO69" s="65"/>
      <c r="MP69" s="13"/>
      <c r="MQ69" s="14"/>
      <c r="MS69" s="65"/>
      <c r="MT69" s="13"/>
      <c r="MU69" s="14"/>
    </row>
    <row r="70" spans="1:359" x14ac:dyDescent="0.25">
      <c r="A70" s="15">
        <f t="shared" si="1"/>
        <v>733101.17988338252</v>
      </c>
      <c r="B70" s="20">
        <v>42764</v>
      </c>
      <c r="D70" s="12">
        <v>106</v>
      </c>
      <c r="E70" s="17">
        <v>1141277.1449508455</v>
      </c>
      <c r="F70" s="14">
        <v>42494</v>
      </c>
      <c r="I70" s="12"/>
      <c r="J70" s="13"/>
      <c r="K70" s="14"/>
      <c r="N70" s="12">
        <f t="shared" si="85"/>
        <v>36</v>
      </c>
      <c r="O70" s="13">
        <f t="shared" si="2"/>
        <v>733101.17988338252</v>
      </c>
      <c r="P70" s="14">
        <v>42764</v>
      </c>
      <c r="T70" s="15"/>
      <c r="U70" s="20"/>
      <c r="W70" s="12"/>
      <c r="X70" s="17"/>
      <c r="Y70" s="14"/>
      <c r="AB70" s="12"/>
      <c r="AC70" s="13"/>
      <c r="AD70" s="14"/>
      <c r="AG70" s="12"/>
      <c r="AH70" s="13"/>
      <c r="AI70" s="14"/>
      <c r="AK70" s="12"/>
      <c r="AL70" s="13"/>
      <c r="AM70" s="14"/>
      <c r="CK70" s="65">
        <f t="shared" si="100"/>
        <v>4</v>
      </c>
      <c r="CL70" s="13">
        <f t="shared" si="17"/>
        <v>802326.61680128006</v>
      </c>
      <c r="CM70" s="14">
        <v>43051</v>
      </c>
      <c r="CO70" s="65"/>
      <c r="CP70" s="13"/>
      <c r="CQ70" s="14"/>
      <c r="CS70" s="65"/>
      <c r="CT70" s="13"/>
      <c r="CU70" s="14"/>
      <c r="CW70" s="65"/>
      <c r="CX70" s="13"/>
      <c r="CY70" s="14"/>
      <c r="DA70" s="65"/>
      <c r="DB70" s="13"/>
      <c r="DC70" s="14"/>
      <c r="DE70" s="65"/>
      <c r="DF70" s="13"/>
      <c r="DG70" s="14"/>
      <c r="DI70" s="65"/>
      <c r="DJ70" s="13"/>
      <c r="DK70" s="14"/>
      <c r="DM70" s="65"/>
      <c r="DN70" s="13"/>
      <c r="DO70" s="14"/>
      <c r="DQ70" s="65"/>
      <c r="DR70" s="13"/>
      <c r="DS70" s="14"/>
      <c r="DU70" s="65">
        <f t="shared" si="109"/>
        <v>30</v>
      </c>
      <c r="DV70" s="13">
        <f t="shared" si="26"/>
        <v>2335170.1565842954</v>
      </c>
      <c r="DW70" s="14">
        <v>43072</v>
      </c>
      <c r="DY70" s="65">
        <f t="shared" si="110"/>
        <v>41</v>
      </c>
      <c r="DZ70" s="13">
        <f t="shared" si="27"/>
        <v>793771.90020749136</v>
      </c>
      <c r="EA70" s="14">
        <v>43075</v>
      </c>
      <c r="EC70" s="65"/>
      <c r="ED70" s="13"/>
      <c r="EE70" s="14"/>
      <c r="EG70" s="65"/>
      <c r="EH70" s="13"/>
      <c r="EI70" s="14"/>
      <c r="EK70" s="65"/>
      <c r="EL70" s="13"/>
      <c r="EM70" s="14"/>
      <c r="EO70" s="65">
        <f t="shared" si="114"/>
        <v>15</v>
      </c>
      <c r="EP70" s="13">
        <f t="shared" si="31"/>
        <v>1282568.4499667662</v>
      </c>
      <c r="EQ70" s="14">
        <v>43087</v>
      </c>
      <c r="ES70" s="65"/>
      <c r="ET70" s="13"/>
      <c r="EU70" s="14"/>
      <c r="EW70" s="65"/>
      <c r="EX70" s="13"/>
      <c r="EY70" s="14"/>
      <c r="FA70" s="65">
        <f t="shared" si="117"/>
        <v>14</v>
      </c>
      <c r="FB70" s="13">
        <f t="shared" si="34"/>
        <v>1262148.8283381376</v>
      </c>
      <c r="FC70" s="14">
        <v>43094</v>
      </c>
      <c r="FE70" s="65">
        <f t="shared" si="118"/>
        <v>9</v>
      </c>
      <c r="FF70" s="13">
        <f t="shared" si="35"/>
        <v>3159110.9192167418</v>
      </c>
      <c r="FG70" s="14">
        <v>43094</v>
      </c>
      <c r="FI70" s="65">
        <f t="shared" si="119"/>
        <v>6</v>
      </c>
      <c r="FJ70" s="13">
        <f t="shared" si="36"/>
        <v>1744947.8463664262</v>
      </c>
      <c r="FK70" s="14">
        <v>43096</v>
      </c>
      <c r="FM70" s="65"/>
      <c r="FN70" s="13"/>
      <c r="FO70" s="14"/>
      <c r="FQ70" s="65"/>
      <c r="FR70" s="13"/>
      <c r="FS70" s="14"/>
      <c r="FU70" s="65"/>
      <c r="FV70" s="13"/>
      <c r="FW70" s="14"/>
      <c r="FY70" s="65"/>
      <c r="FZ70" s="13"/>
      <c r="GA70" s="14"/>
      <c r="GC70" s="65"/>
      <c r="GD70" s="13"/>
      <c r="GE70" s="14"/>
      <c r="GG70" s="65"/>
      <c r="GH70" s="13"/>
      <c r="GI70" s="14"/>
      <c r="GK70" s="65"/>
      <c r="GL70" s="13"/>
      <c r="GM70" s="14"/>
      <c r="GO70" s="65"/>
      <c r="GP70" s="13"/>
      <c r="GQ70" s="14"/>
      <c r="GS70" s="65"/>
      <c r="GT70" s="13"/>
      <c r="GU70" s="14"/>
      <c r="GW70" s="65"/>
      <c r="GX70" s="13"/>
      <c r="GY70" s="14"/>
      <c r="HA70" s="65"/>
      <c r="HB70" s="13"/>
      <c r="HC70" s="14"/>
      <c r="HE70" s="65"/>
      <c r="HF70" s="13"/>
      <c r="HG70" s="14"/>
      <c r="HI70" s="65"/>
      <c r="HJ70" s="13"/>
      <c r="HK70" s="14"/>
      <c r="HM70" s="65"/>
      <c r="HN70" s="13"/>
      <c r="HO70" s="14"/>
      <c r="HQ70" s="65"/>
      <c r="HR70" s="13"/>
      <c r="HS70" s="14"/>
      <c r="HU70" s="65"/>
      <c r="HV70" s="13"/>
      <c r="HW70" s="14"/>
      <c r="HY70" s="65"/>
      <c r="HZ70" s="13"/>
      <c r="IA70" s="14"/>
      <c r="IC70" s="65"/>
      <c r="ID70" s="13"/>
      <c r="IE70" s="14"/>
      <c r="IG70" s="65"/>
      <c r="IH70" s="13"/>
      <c r="II70" s="14"/>
      <c r="IK70" s="65"/>
      <c r="IL70" s="13"/>
      <c r="IM70" s="14"/>
      <c r="IO70" s="65"/>
      <c r="IP70" s="13"/>
      <c r="IQ70" s="14"/>
      <c r="IS70" s="65"/>
      <c r="IT70" s="13"/>
      <c r="IU70" s="14"/>
      <c r="IW70" s="65"/>
      <c r="IX70" s="13"/>
      <c r="IY70" s="14"/>
      <c r="JA70" s="65"/>
      <c r="JB70" s="13"/>
      <c r="JC70" s="14"/>
      <c r="JE70" s="65"/>
      <c r="JF70" s="13"/>
      <c r="JG70" s="14"/>
      <c r="JI70" s="65"/>
      <c r="JJ70" s="13"/>
      <c r="JK70" s="14"/>
      <c r="JM70" s="65"/>
      <c r="JN70" s="13"/>
      <c r="JO70" s="14"/>
      <c r="JQ70" s="65"/>
      <c r="JR70" s="13"/>
      <c r="JS70" s="14"/>
      <c r="JU70" s="65">
        <f t="shared" si="148"/>
        <v>1</v>
      </c>
      <c r="JV70" s="13">
        <f t="shared" si="65"/>
        <v>1655389.2174198451</v>
      </c>
      <c r="JW70" s="14">
        <v>43192</v>
      </c>
      <c r="JY70" s="65"/>
      <c r="JZ70" s="13"/>
      <c r="KA70" s="14"/>
      <c r="KC70" s="65"/>
      <c r="KD70" s="13"/>
      <c r="KE70" s="14"/>
      <c r="KG70" s="65"/>
      <c r="KH70" s="13"/>
      <c r="KI70" s="14"/>
      <c r="KK70" s="65"/>
      <c r="KL70" s="13"/>
      <c r="KM70" s="14"/>
      <c r="KO70" s="65"/>
      <c r="KP70" s="13"/>
      <c r="KQ70" s="14"/>
      <c r="KS70" s="65"/>
      <c r="KT70" s="13"/>
      <c r="KU70" s="14"/>
      <c r="KW70" s="65"/>
      <c r="KX70" s="13"/>
      <c r="KY70" s="14"/>
      <c r="LA70" s="65">
        <f t="shared" si="156"/>
        <v>17</v>
      </c>
      <c r="LB70" s="13">
        <f t="shared" si="73"/>
        <v>2639004.7614394901</v>
      </c>
      <c r="LC70" s="14">
        <v>43247</v>
      </c>
      <c r="LE70" s="65"/>
      <c r="LF70" s="13"/>
      <c r="LG70" s="14"/>
      <c r="LI70" s="65"/>
      <c r="LJ70" s="13"/>
      <c r="LK70" s="14"/>
      <c r="LM70" s="65">
        <f t="shared" si="159"/>
        <v>5</v>
      </c>
      <c r="LN70" s="13">
        <f t="shared" si="76"/>
        <v>745915.02851917234</v>
      </c>
      <c r="LO70" s="14">
        <v>43257</v>
      </c>
      <c r="LQ70" s="65"/>
      <c r="LR70" s="13"/>
      <c r="LS70" s="14"/>
      <c r="LU70" s="65"/>
      <c r="LV70" s="13"/>
      <c r="LW70" s="14"/>
      <c r="LY70" s="65"/>
      <c r="LZ70" s="13"/>
      <c r="MA70" s="14"/>
      <c r="MC70" s="65"/>
      <c r="MD70" s="13"/>
      <c r="ME70" s="14"/>
      <c r="MG70" s="65"/>
      <c r="MH70" s="13"/>
      <c r="MI70" s="14"/>
      <c r="MK70" s="65"/>
      <c r="ML70" s="13"/>
      <c r="MM70" s="14"/>
      <c r="MO70" s="65"/>
      <c r="MP70" s="13"/>
      <c r="MQ70" s="14"/>
      <c r="MS70" s="65"/>
      <c r="MT70" s="13"/>
      <c r="MU70" s="14"/>
    </row>
    <row r="71" spans="1:359" x14ac:dyDescent="0.25">
      <c r="A71" s="15">
        <f t="shared" si="1"/>
        <v>733130.56389373157</v>
      </c>
      <c r="B71" s="20">
        <v>42765</v>
      </c>
      <c r="D71" s="12">
        <v>105</v>
      </c>
      <c r="E71" s="17">
        <v>1141304.3184974191</v>
      </c>
      <c r="F71" s="14">
        <v>42495</v>
      </c>
      <c r="I71" s="12"/>
      <c r="J71" s="13"/>
      <c r="K71" s="14"/>
      <c r="N71" s="12">
        <f t="shared" si="85"/>
        <v>35</v>
      </c>
      <c r="O71" s="13">
        <f t="shared" si="2"/>
        <v>733130.56389373157</v>
      </c>
      <c r="P71" s="14">
        <v>42765</v>
      </c>
      <c r="T71" s="15"/>
      <c r="U71" s="20"/>
      <c r="W71" s="12"/>
      <c r="X71" s="17"/>
      <c r="Y71" s="14"/>
      <c r="AB71" s="12"/>
      <c r="AC71" s="13"/>
      <c r="AD71" s="14"/>
      <c r="AG71" s="12"/>
      <c r="AH71" s="13"/>
      <c r="AI71" s="14"/>
      <c r="AK71" s="12"/>
      <c r="AL71" s="13"/>
      <c r="AM71" s="14"/>
      <c r="CK71" s="65">
        <f t="shared" si="100"/>
        <v>3</v>
      </c>
      <c r="CL71" s="13">
        <f t="shared" si="17"/>
        <v>802364.47135451401</v>
      </c>
      <c r="CM71" s="14">
        <v>43052</v>
      </c>
      <c r="CO71" s="65"/>
      <c r="CP71" s="13"/>
      <c r="CQ71" s="14"/>
      <c r="CS71" s="65"/>
      <c r="CT71" s="13"/>
      <c r="CU71" s="14"/>
      <c r="CW71" s="65"/>
      <c r="CX71" s="13"/>
      <c r="CY71" s="14"/>
      <c r="DA71" s="65"/>
      <c r="DB71" s="13"/>
      <c r="DC71" s="14"/>
      <c r="DE71" s="65"/>
      <c r="DF71" s="13"/>
      <c r="DG71" s="14"/>
      <c r="DI71" s="65"/>
      <c r="DJ71" s="13"/>
      <c r="DK71" s="14"/>
      <c r="DM71" s="65"/>
      <c r="DN71" s="13"/>
      <c r="DO71" s="14"/>
      <c r="DQ71" s="65"/>
      <c r="DR71" s="13"/>
      <c r="DS71" s="14"/>
      <c r="DU71" s="65">
        <f t="shared" si="109"/>
        <v>29</v>
      </c>
      <c r="DV71" s="13">
        <f t="shared" si="26"/>
        <v>2335285.4607135677</v>
      </c>
      <c r="DW71" s="14">
        <v>43073</v>
      </c>
      <c r="DY71" s="65">
        <f t="shared" si="110"/>
        <v>40</v>
      </c>
      <c r="DZ71" s="13">
        <f t="shared" si="27"/>
        <v>793813.51429911575</v>
      </c>
      <c r="EA71" s="14">
        <v>43076</v>
      </c>
      <c r="EC71" s="65"/>
      <c r="ED71" s="13"/>
      <c r="EE71" s="14"/>
      <c r="EG71" s="65"/>
      <c r="EH71" s="13"/>
      <c r="EI71" s="14"/>
      <c r="EK71" s="65"/>
      <c r="EL71" s="13"/>
      <c r="EM71" s="14"/>
      <c r="EO71" s="65">
        <f t="shared" si="114"/>
        <v>14</v>
      </c>
      <c r="EP71" s="13">
        <f t="shared" si="31"/>
        <v>1282643.628173369</v>
      </c>
      <c r="EQ71" s="14">
        <v>43088</v>
      </c>
      <c r="ES71" s="65"/>
      <c r="ET71" s="13"/>
      <c r="EU71" s="14"/>
      <c r="EW71" s="65"/>
      <c r="EX71" s="13"/>
      <c r="EY71" s="14"/>
      <c r="FA71" s="65">
        <f t="shared" si="117"/>
        <v>13</v>
      </c>
      <c r="FB71" s="13">
        <f t="shared" si="34"/>
        <v>1262224.1702642872</v>
      </c>
      <c r="FC71" s="14">
        <v>43095</v>
      </c>
      <c r="FE71" s="65">
        <f t="shared" si="118"/>
        <v>8</v>
      </c>
      <c r="FF71" s="13">
        <f t="shared" si="35"/>
        <v>3159288.081792641</v>
      </c>
      <c r="FG71" s="14">
        <v>43095</v>
      </c>
      <c r="FI71" s="65">
        <f t="shared" si="119"/>
        <v>5</v>
      </c>
      <c r="FJ71" s="13">
        <f t="shared" si="36"/>
        <v>1745054.5768128408</v>
      </c>
      <c r="FK71" s="14">
        <v>43097</v>
      </c>
      <c r="FM71" s="65"/>
      <c r="FN71" s="13"/>
      <c r="FO71" s="14"/>
      <c r="FQ71" s="65"/>
      <c r="FR71" s="13"/>
      <c r="FS71" s="14"/>
      <c r="FU71" s="65"/>
      <c r="FV71" s="13"/>
      <c r="FW71" s="14"/>
      <c r="FY71" s="65"/>
      <c r="FZ71" s="13"/>
      <c r="GA71" s="14"/>
      <c r="GC71" s="65"/>
      <c r="GD71" s="13"/>
      <c r="GE71" s="14"/>
      <c r="GG71" s="65"/>
      <c r="GH71" s="13"/>
      <c r="GI71" s="14"/>
      <c r="GK71" s="65"/>
      <c r="GL71" s="13"/>
      <c r="GM71" s="14"/>
      <c r="GO71" s="65"/>
      <c r="GP71" s="13"/>
      <c r="GQ71" s="14"/>
      <c r="GS71" s="65"/>
      <c r="GT71" s="13"/>
      <c r="GU71" s="14"/>
      <c r="GW71" s="65"/>
      <c r="GX71" s="13"/>
      <c r="GY71" s="14"/>
      <c r="HA71" s="65"/>
      <c r="HB71" s="13"/>
      <c r="HC71" s="14"/>
      <c r="HE71" s="65"/>
      <c r="HF71" s="13"/>
      <c r="HG71" s="14"/>
      <c r="HI71" s="65"/>
      <c r="HJ71" s="13"/>
      <c r="HK71" s="14"/>
      <c r="HM71" s="65"/>
      <c r="HN71" s="13"/>
      <c r="HO71" s="14"/>
      <c r="HQ71" s="65"/>
      <c r="HR71" s="13"/>
      <c r="HS71" s="14"/>
      <c r="HU71" s="65"/>
      <c r="HV71" s="13"/>
      <c r="HW71" s="14"/>
      <c r="HY71" s="65"/>
      <c r="HZ71" s="13"/>
      <c r="IA71" s="14"/>
      <c r="IC71" s="65"/>
      <c r="ID71" s="13"/>
      <c r="IE71" s="14"/>
      <c r="IG71" s="65"/>
      <c r="IH71" s="13"/>
      <c r="II71" s="14"/>
      <c r="IK71" s="65"/>
      <c r="IL71" s="13"/>
      <c r="IM71" s="14"/>
      <c r="IO71" s="65"/>
      <c r="IP71" s="13"/>
      <c r="IQ71" s="14"/>
      <c r="IS71" s="65"/>
      <c r="IT71" s="13"/>
      <c r="IU71" s="14"/>
      <c r="IW71" s="65"/>
      <c r="IX71" s="13"/>
      <c r="IY71" s="14"/>
      <c r="JA71" s="65"/>
      <c r="JB71" s="13"/>
      <c r="JC71" s="14"/>
      <c r="JE71" s="65"/>
      <c r="JF71" s="13"/>
      <c r="JG71" s="14"/>
      <c r="JI71" s="65"/>
      <c r="JJ71" s="13"/>
      <c r="JK71" s="14"/>
      <c r="JM71" s="65"/>
      <c r="JN71" s="13"/>
      <c r="JO71" s="14"/>
      <c r="JQ71" s="65"/>
      <c r="JR71" s="13"/>
      <c r="JS71" s="14"/>
      <c r="JU71" s="65">
        <f t="shared" si="148"/>
        <v>0</v>
      </c>
      <c r="JV71" s="13">
        <f>($JW$2/(1+$JW$4*JU71/360))*0</f>
        <v>0</v>
      </c>
      <c r="JW71" s="14">
        <v>43193</v>
      </c>
      <c r="JY71" s="65"/>
      <c r="JZ71" s="13"/>
      <c r="KA71" s="14"/>
      <c r="KC71" s="65"/>
      <c r="KD71" s="13"/>
      <c r="KE71" s="14"/>
      <c r="KG71" s="65"/>
      <c r="KH71" s="13"/>
      <c r="KI71" s="14"/>
      <c r="KK71" s="65"/>
      <c r="KL71" s="13"/>
      <c r="KM71" s="14"/>
      <c r="KO71" s="65"/>
      <c r="KP71" s="13"/>
      <c r="KQ71" s="14"/>
      <c r="KS71" s="65"/>
      <c r="KT71" s="13"/>
      <c r="KU71" s="14"/>
      <c r="KW71" s="65"/>
      <c r="KX71" s="13"/>
      <c r="KY71" s="14"/>
      <c r="LA71" s="65">
        <f t="shared" si="156"/>
        <v>16</v>
      </c>
      <c r="LB71" s="13">
        <f t="shared" si="73"/>
        <v>2639206.8372581964</v>
      </c>
      <c r="LC71" s="14">
        <v>43248</v>
      </c>
      <c r="LE71" s="65"/>
      <c r="LF71" s="13"/>
      <c r="LG71" s="14"/>
      <c r="LI71" s="65"/>
      <c r="LJ71" s="13"/>
      <c r="LK71" s="14"/>
      <c r="LM71" s="65">
        <f t="shared" si="159"/>
        <v>4</v>
      </c>
      <c r="LN71" s="13">
        <f t="shared" si="76"/>
        <v>745968.4150717603</v>
      </c>
      <c r="LO71" s="14">
        <v>43258</v>
      </c>
      <c r="LQ71" s="65"/>
      <c r="LR71" s="13"/>
      <c r="LS71" s="14"/>
      <c r="LU71" s="65"/>
      <c r="LV71" s="13"/>
      <c r="LW71" s="14"/>
      <c r="LY71" s="65"/>
      <c r="LZ71" s="13"/>
      <c r="MA71" s="14"/>
      <c r="MC71" s="65"/>
      <c r="MD71" s="13"/>
      <c r="ME71" s="14"/>
      <c r="MG71" s="65"/>
      <c r="MH71" s="13"/>
      <c r="MI71" s="14"/>
      <c r="MK71" s="65"/>
      <c r="ML71" s="13"/>
      <c r="MM71" s="14"/>
      <c r="MO71" s="65"/>
      <c r="MP71" s="13"/>
      <c r="MQ71" s="14"/>
      <c r="MS71" s="65"/>
      <c r="MT71" s="13"/>
      <c r="MU71" s="14"/>
    </row>
    <row r="72" spans="1:359" x14ac:dyDescent="0.25">
      <c r="A72" s="15">
        <f t="shared" si="1"/>
        <v>733159.95025970275</v>
      </c>
      <c r="B72" s="20">
        <v>42766</v>
      </c>
      <c r="D72" s="12">
        <v>104</v>
      </c>
      <c r="E72" s="17">
        <v>1141331.4933380156</v>
      </c>
      <c r="F72" s="14">
        <v>42496</v>
      </c>
      <c r="I72" s="12"/>
      <c r="J72" s="13"/>
      <c r="K72" s="14"/>
      <c r="N72" s="12">
        <f t="shared" si="85"/>
        <v>34</v>
      </c>
      <c r="O72" s="13">
        <f t="shared" si="2"/>
        <v>733159.95025970275</v>
      </c>
      <c r="P72" s="14">
        <v>42766</v>
      </c>
      <c r="T72" s="15"/>
      <c r="U72" s="20"/>
      <c r="W72" s="12"/>
      <c r="X72" s="17"/>
      <c r="Y72" s="14"/>
      <c r="AB72" s="12"/>
      <c r="AC72" s="13"/>
      <c r="AD72" s="14"/>
      <c r="AG72" s="12"/>
      <c r="AH72" s="13"/>
      <c r="AI72" s="14"/>
      <c r="AK72" s="12"/>
      <c r="AL72" s="13"/>
      <c r="AM72" s="14"/>
      <c r="CK72" s="65">
        <f t="shared" si="100"/>
        <v>2</v>
      </c>
      <c r="CL72" s="13">
        <f t="shared" si="17"/>
        <v>802402.32947994582</v>
      </c>
      <c r="CM72" s="14">
        <v>43053</v>
      </c>
      <c r="CO72" s="65"/>
      <c r="CP72" s="13"/>
      <c r="CQ72" s="14"/>
      <c r="CS72" s="65"/>
      <c r="CT72" s="13"/>
      <c r="CU72" s="14"/>
      <c r="CW72" s="65"/>
      <c r="CX72" s="13"/>
      <c r="CY72" s="14"/>
      <c r="DA72" s="65"/>
      <c r="DB72" s="13"/>
      <c r="DC72" s="14"/>
      <c r="DE72" s="65"/>
      <c r="DF72" s="13"/>
      <c r="DG72" s="14"/>
      <c r="DI72" s="65"/>
      <c r="DJ72" s="13"/>
      <c r="DK72" s="14"/>
      <c r="DM72" s="65"/>
      <c r="DN72" s="13"/>
      <c r="DO72" s="14"/>
      <c r="DQ72" s="65"/>
      <c r="DR72" s="13"/>
      <c r="DS72" s="14"/>
      <c r="DU72" s="65">
        <f t="shared" si="109"/>
        <v>28</v>
      </c>
      <c r="DV72" s="13">
        <f t="shared" si="26"/>
        <v>2335400.7762301886</v>
      </c>
      <c r="DW72" s="14">
        <v>43074</v>
      </c>
      <c r="DY72" s="65">
        <f t="shared" si="110"/>
        <v>39</v>
      </c>
      <c r="DZ72" s="13">
        <f t="shared" si="27"/>
        <v>793855.13275426952</v>
      </c>
      <c r="EA72" s="14">
        <v>43077</v>
      </c>
      <c r="EC72" s="65"/>
      <c r="ED72" s="13"/>
      <c r="EE72" s="14"/>
      <c r="EG72" s="65"/>
      <c r="EH72" s="13"/>
      <c r="EI72" s="14"/>
      <c r="EK72" s="65"/>
      <c r="EL72" s="13"/>
      <c r="EM72" s="14"/>
      <c r="EO72" s="65">
        <f t="shared" si="114"/>
        <v>13</v>
      </c>
      <c r="EP72" s="13">
        <f t="shared" si="31"/>
        <v>1282718.8151936834</v>
      </c>
      <c r="EQ72" s="14">
        <v>43089</v>
      </c>
      <c r="ES72" s="65"/>
      <c r="ET72" s="13"/>
      <c r="EU72" s="14"/>
      <c r="EW72" s="65"/>
      <c r="EX72" s="13"/>
      <c r="EY72" s="14"/>
      <c r="FA72" s="65">
        <f t="shared" si="117"/>
        <v>12</v>
      </c>
      <c r="FB72" s="13">
        <f t="shared" si="34"/>
        <v>1262299.5211858018</v>
      </c>
      <c r="FC72" s="14">
        <v>43096</v>
      </c>
      <c r="FE72" s="65">
        <f t="shared" si="118"/>
        <v>7</v>
      </c>
      <c r="FF72" s="13">
        <f t="shared" si="35"/>
        <v>3159465.264240169</v>
      </c>
      <c r="FG72" s="14">
        <v>43096</v>
      </c>
      <c r="FI72" s="65">
        <f t="shared" si="119"/>
        <v>4</v>
      </c>
      <c r="FJ72" s="13">
        <f t="shared" si="36"/>
        <v>1745161.3203164765</v>
      </c>
      <c r="FK72" s="14">
        <v>43098</v>
      </c>
      <c r="FM72" s="65"/>
      <c r="FN72" s="13"/>
      <c r="FO72" s="14"/>
      <c r="FQ72" s="65"/>
      <c r="FR72" s="13"/>
      <c r="FS72" s="14"/>
      <c r="FU72" s="65"/>
      <c r="FV72" s="13"/>
      <c r="FW72" s="14"/>
      <c r="FY72" s="65"/>
      <c r="FZ72" s="13"/>
      <c r="GA72" s="14"/>
      <c r="GC72" s="65"/>
      <c r="GD72" s="13"/>
      <c r="GE72" s="14"/>
      <c r="GG72" s="65"/>
      <c r="GH72" s="13"/>
      <c r="GI72" s="14"/>
      <c r="GK72" s="65"/>
      <c r="GL72" s="13"/>
      <c r="GM72" s="14"/>
      <c r="GO72" s="65"/>
      <c r="GP72" s="13"/>
      <c r="GQ72" s="14"/>
      <c r="GS72" s="65"/>
      <c r="GT72" s="13"/>
      <c r="GU72" s="14"/>
      <c r="GW72" s="65"/>
      <c r="GX72" s="13"/>
      <c r="GY72" s="14"/>
      <c r="HA72" s="65"/>
      <c r="HB72" s="13"/>
      <c r="HC72" s="14"/>
      <c r="HE72" s="65"/>
      <c r="HF72" s="13"/>
      <c r="HG72" s="14"/>
      <c r="HI72" s="65"/>
      <c r="HJ72" s="13"/>
      <c r="HK72" s="14"/>
      <c r="HM72" s="65"/>
      <c r="HN72" s="13"/>
      <c r="HO72" s="14"/>
      <c r="HQ72" s="65"/>
      <c r="HR72" s="13"/>
      <c r="HS72" s="14"/>
      <c r="HU72" s="65"/>
      <c r="HV72" s="13"/>
      <c r="HW72" s="14"/>
      <c r="HY72" s="65"/>
      <c r="HZ72" s="13"/>
      <c r="IA72" s="14"/>
      <c r="IC72" s="65"/>
      <c r="ID72" s="13"/>
      <c r="IE72" s="14"/>
      <c r="IG72" s="65"/>
      <c r="IH72" s="13"/>
      <c r="II72" s="14"/>
      <c r="IK72" s="65"/>
      <c r="IL72" s="13"/>
      <c r="IM72" s="14"/>
      <c r="IO72" s="65"/>
      <c r="IP72" s="13"/>
      <c r="IQ72" s="14"/>
      <c r="IS72" s="65"/>
      <c r="IT72" s="13"/>
      <c r="IU72" s="14"/>
      <c r="IW72" s="65"/>
      <c r="IX72" s="13"/>
      <c r="IY72" s="14"/>
      <c r="JA72" s="65"/>
      <c r="JB72" s="13"/>
      <c r="JC72" s="14"/>
      <c r="JE72" s="65"/>
      <c r="JF72" s="13"/>
      <c r="JG72" s="14"/>
      <c r="JI72" s="65"/>
      <c r="JJ72" s="13"/>
      <c r="JK72" s="14"/>
      <c r="JM72" s="65"/>
      <c r="JN72" s="13"/>
      <c r="JO72" s="14"/>
      <c r="JQ72" s="65"/>
      <c r="JR72" s="13"/>
      <c r="JS72" s="14"/>
      <c r="JU72" s="65"/>
      <c r="JV72" s="13"/>
      <c r="JW72" s="14"/>
      <c r="JY72" s="65"/>
      <c r="JZ72" s="13"/>
      <c r="KA72" s="14"/>
      <c r="KC72" s="65"/>
      <c r="KD72" s="13"/>
      <c r="KE72" s="14"/>
      <c r="KG72" s="65"/>
      <c r="KH72" s="13"/>
      <c r="KI72" s="14"/>
      <c r="KK72" s="65"/>
      <c r="KL72" s="13"/>
      <c r="KM72" s="14"/>
      <c r="KO72" s="65"/>
      <c r="KP72" s="13"/>
      <c r="KQ72" s="14"/>
      <c r="KS72" s="65"/>
      <c r="KT72" s="13"/>
      <c r="KU72" s="14"/>
      <c r="KW72" s="65"/>
      <c r="KX72" s="13"/>
      <c r="KY72" s="14"/>
      <c r="LA72" s="65">
        <f t="shared" si="156"/>
        <v>15</v>
      </c>
      <c r="LB72" s="13">
        <f t="shared" si="73"/>
        <v>2639408.9440262699</v>
      </c>
      <c r="LC72" s="14">
        <v>43249</v>
      </c>
      <c r="LE72" s="65"/>
      <c r="LF72" s="13"/>
      <c r="LG72" s="14"/>
      <c r="LI72" s="65"/>
      <c r="LJ72" s="13"/>
      <c r="LK72" s="14"/>
      <c r="LM72" s="65">
        <f t="shared" si="159"/>
        <v>3</v>
      </c>
      <c r="LN72" s="13">
        <f t="shared" si="76"/>
        <v>746021.80926684861</v>
      </c>
      <c r="LO72" s="14">
        <v>43259</v>
      </c>
      <c r="LQ72" s="65"/>
      <c r="LR72" s="13"/>
      <c r="LS72" s="14"/>
      <c r="LU72" s="65"/>
      <c r="LV72" s="13"/>
      <c r="LW72" s="14"/>
      <c r="LY72" s="65"/>
      <c r="LZ72" s="13"/>
      <c r="MA72" s="14"/>
      <c r="MC72" s="65"/>
      <c r="MD72" s="13"/>
      <c r="ME72" s="14"/>
      <c r="MG72" s="65"/>
      <c r="MH72" s="13"/>
      <c r="MI72" s="14"/>
      <c r="MK72" s="65"/>
      <c r="ML72" s="13"/>
      <c r="MM72" s="14"/>
      <c r="MO72" s="65"/>
      <c r="MP72" s="13"/>
      <c r="MQ72" s="14"/>
      <c r="MS72" s="65"/>
      <c r="MT72" s="13"/>
      <c r="MU72" s="14"/>
    </row>
    <row r="73" spans="1:359" x14ac:dyDescent="0.25">
      <c r="A73" s="15">
        <f t="shared" ref="A73:A136" si="171">+O73</f>
        <v>733189.33898157941</v>
      </c>
      <c r="B73" s="20">
        <v>42767</v>
      </c>
      <c r="D73" s="12">
        <v>103</v>
      </c>
      <c r="E73" s="17">
        <v>1141358.669472727</v>
      </c>
      <c r="F73" s="14">
        <v>42497</v>
      </c>
      <c r="I73" s="12"/>
      <c r="J73" s="13"/>
      <c r="K73" s="14"/>
      <c r="N73" s="12">
        <f t="shared" si="85"/>
        <v>33</v>
      </c>
      <c r="O73" s="13">
        <f t="shared" ref="O73:O106" si="172">($Q$2/(1+$Q$4*N73/360))</f>
        <v>733189.33898157941</v>
      </c>
      <c r="P73" s="14">
        <v>42767</v>
      </c>
      <c r="T73" s="15"/>
      <c r="U73" s="20"/>
      <c r="W73" s="12"/>
      <c r="X73" s="17"/>
      <c r="Y73" s="14"/>
      <c r="AB73" s="12"/>
      <c r="AC73" s="13"/>
      <c r="AD73" s="14"/>
      <c r="AG73" s="12"/>
      <c r="AH73" s="13"/>
      <c r="AI73" s="14"/>
      <c r="AK73" s="12"/>
      <c r="AL73" s="13"/>
      <c r="AM73" s="14"/>
      <c r="CK73" s="65">
        <f t="shared" si="100"/>
        <v>1</v>
      </c>
      <c r="CL73" s="13">
        <f t="shared" ref="CL73" si="173">($CM$2/(1+$CM$4*CK73/360))</f>
        <v>802440.19117808167</v>
      </c>
      <c r="CM73" s="14">
        <v>43054</v>
      </c>
      <c r="CO73" s="65"/>
      <c r="CP73" s="13"/>
      <c r="CQ73" s="14"/>
      <c r="CS73" s="65"/>
      <c r="CT73" s="13"/>
      <c r="CU73" s="14"/>
      <c r="CW73" s="65"/>
      <c r="CX73" s="13"/>
      <c r="CY73" s="14"/>
      <c r="DA73" s="65"/>
      <c r="DB73" s="13"/>
      <c r="DC73" s="14"/>
      <c r="DE73" s="65"/>
      <c r="DF73" s="13"/>
      <c r="DG73" s="14"/>
      <c r="DI73" s="65"/>
      <c r="DJ73" s="13"/>
      <c r="DK73" s="14"/>
      <c r="DM73" s="65"/>
      <c r="DN73" s="13"/>
      <c r="DO73" s="14"/>
      <c r="DQ73" s="65"/>
      <c r="DR73" s="13"/>
      <c r="DS73" s="14"/>
      <c r="DU73" s="65">
        <f t="shared" si="109"/>
        <v>27</v>
      </c>
      <c r="DV73" s="13">
        <f t="shared" ref="DV73:DV99" si="174">($DW$2/(1+$DW$4*DU73/360))</f>
        <v>2335516.1031358452</v>
      </c>
      <c r="DW73" s="14">
        <v>43075</v>
      </c>
      <c r="DY73" s="65">
        <f t="shared" si="110"/>
        <v>38</v>
      </c>
      <c r="DZ73" s="13">
        <f t="shared" ref="DZ73:DZ111" si="175">($EA$2/(1+$EA$4*DY73/360))</f>
        <v>793896.75557363883</v>
      </c>
      <c r="EA73" s="14">
        <v>43078</v>
      </c>
      <c r="EC73" s="65"/>
      <c r="ED73" s="13"/>
      <c r="EE73" s="14"/>
      <c r="EG73" s="65"/>
      <c r="EH73" s="13"/>
      <c r="EI73" s="14"/>
      <c r="EK73" s="65"/>
      <c r="EL73" s="13"/>
      <c r="EM73" s="14"/>
      <c r="EO73" s="65">
        <f t="shared" si="114"/>
        <v>12</v>
      </c>
      <c r="EP73" s="13">
        <f t="shared" ref="EP73:EP84" si="176">($EQ$2/(1+$EQ$4*EO73/360))</f>
        <v>1282794.0110292588</v>
      </c>
      <c r="EQ73" s="14">
        <v>43090</v>
      </c>
      <c r="ES73" s="65"/>
      <c r="ET73" s="13"/>
      <c r="EU73" s="14"/>
      <c r="EW73" s="65"/>
      <c r="EX73" s="13"/>
      <c r="EY73" s="14"/>
      <c r="FA73" s="65">
        <f t="shared" si="117"/>
        <v>11</v>
      </c>
      <c r="FB73" s="13">
        <f t="shared" ref="FB73:FB83" si="177">($FC$2/(1+$FC$4*FA73/360))</f>
        <v>1262374.8811042926</v>
      </c>
      <c r="FC73" s="14">
        <v>43097</v>
      </c>
      <c r="FE73" s="65">
        <f t="shared" si="118"/>
        <v>6</v>
      </c>
      <c r="FF73" s="13">
        <f t="shared" ref="FF73:FF78" si="178">($FG$2/(1+$FG$4*FE73/360))</f>
        <v>3159642.4665626674</v>
      </c>
      <c r="FG73" s="14">
        <v>43097</v>
      </c>
      <c r="FI73" s="65">
        <f t="shared" si="119"/>
        <v>3</v>
      </c>
      <c r="FJ73" s="13">
        <f t="shared" ref="FJ73:FJ75" si="179">($FK$2/(1+$FK$4*FI73/360))</f>
        <v>1745268.0768797295</v>
      </c>
      <c r="FK73" s="14">
        <v>43099</v>
      </c>
      <c r="FM73" s="65"/>
      <c r="FN73" s="13"/>
      <c r="FO73" s="14"/>
      <c r="FQ73" s="65"/>
      <c r="FR73" s="13"/>
      <c r="FS73" s="14"/>
      <c r="FU73" s="65"/>
      <c r="FV73" s="13"/>
      <c r="FW73" s="14"/>
      <c r="FY73" s="65"/>
      <c r="FZ73" s="13"/>
      <c r="GA73" s="14"/>
      <c r="GC73" s="65"/>
      <c r="GD73" s="13"/>
      <c r="GE73" s="14"/>
      <c r="GG73" s="65"/>
      <c r="GH73" s="13"/>
      <c r="GI73" s="14"/>
      <c r="GK73" s="65"/>
      <c r="GL73" s="13"/>
      <c r="GM73" s="14"/>
      <c r="GO73" s="65"/>
      <c r="GP73" s="13"/>
      <c r="GQ73" s="14"/>
      <c r="GS73" s="65"/>
      <c r="GT73" s="13"/>
      <c r="GU73" s="14"/>
      <c r="GW73" s="65"/>
      <c r="GX73" s="13"/>
      <c r="GY73" s="14"/>
      <c r="HA73" s="65"/>
      <c r="HB73" s="13"/>
      <c r="HC73" s="14"/>
      <c r="HE73" s="65"/>
      <c r="HF73" s="13"/>
      <c r="HG73" s="14"/>
      <c r="HI73" s="65"/>
      <c r="HJ73" s="13"/>
      <c r="HK73" s="14"/>
      <c r="HM73" s="65"/>
      <c r="HN73" s="13"/>
      <c r="HO73" s="14"/>
      <c r="HQ73" s="65"/>
      <c r="HR73" s="13"/>
      <c r="HS73" s="14"/>
      <c r="HU73" s="65"/>
      <c r="HV73" s="13"/>
      <c r="HW73" s="14"/>
      <c r="HY73" s="65"/>
      <c r="HZ73" s="13"/>
      <c r="IA73" s="14"/>
      <c r="IC73" s="65"/>
      <c r="ID73" s="13"/>
      <c r="IE73" s="14"/>
      <c r="IG73" s="65"/>
      <c r="IH73" s="13"/>
      <c r="II73" s="14"/>
      <c r="IK73" s="65"/>
      <c r="IL73" s="13"/>
      <c r="IM73" s="14"/>
      <c r="IO73" s="65"/>
      <c r="IP73" s="13"/>
      <c r="IQ73" s="14"/>
      <c r="IS73" s="65"/>
      <c r="IT73" s="13"/>
      <c r="IU73" s="14"/>
      <c r="IW73" s="65"/>
      <c r="IX73" s="13"/>
      <c r="IY73" s="14"/>
      <c r="JA73" s="65"/>
      <c r="JB73" s="13"/>
      <c r="JC73" s="14"/>
      <c r="JE73" s="65"/>
      <c r="JF73" s="13"/>
      <c r="JG73" s="14"/>
      <c r="JI73" s="65"/>
      <c r="JJ73" s="13"/>
      <c r="JK73" s="14"/>
      <c r="JM73" s="65"/>
      <c r="JN73" s="13"/>
      <c r="JO73" s="14"/>
      <c r="JQ73" s="65"/>
      <c r="JR73" s="13"/>
      <c r="JS73" s="14"/>
      <c r="JU73" s="65"/>
      <c r="JV73" s="13"/>
      <c r="JW73" s="14"/>
      <c r="JY73" s="65"/>
      <c r="JZ73" s="13"/>
      <c r="KA73" s="14"/>
      <c r="KC73" s="65"/>
      <c r="KD73" s="13"/>
      <c r="KE73" s="14"/>
      <c r="KG73" s="65"/>
      <c r="KH73" s="13"/>
      <c r="KI73" s="14"/>
      <c r="KK73" s="65"/>
      <c r="KL73" s="13"/>
      <c r="KM73" s="14"/>
      <c r="KO73" s="65"/>
      <c r="KP73" s="13"/>
      <c r="KQ73" s="14"/>
      <c r="KS73" s="65"/>
      <c r="KT73" s="13"/>
      <c r="KU73" s="14"/>
      <c r="KW73" s="65"/>
      <c r="KX73" s="13"/>
      <c r="KY73" s="14"/>
      <c r="LA73" s="65">
        <f t="shared" si="156"/>
        <v>14</v>
      </c>
      <c r="LB73" s="13">
        <f t="shared" ref="LB73:LB87" si="180">($LC$2/(1+$LC$4*LA73/360))</f>
        <v>2639611.0817508209</v>
      </c>
      <c r="LC73" s="14">
        <v>43250</v>
      </c>
      <c r="LE73" s="65"/>
      <c r="LF73" s="13"/>
      <c r="LG73" s="14"/>
      <c r="LI73" s="65"/>
      <c r="LJ73" s="13"/>
      <c r="LK73" s="14"/>
      <c r="LM73" s="65">
        <f t="shared" si="159"/>
        <v>2</v>
      </c>
      <c r="LN73" s="13">
        <f t="shared" ref="LN73:LN75" si="181">($LO$2/(1+$LO$4*LM73/360))</f>
        <v>746075.21110607882</v>
      </c>
      <c r="LO73" s="14">
        <v>43260</v>
      </c>
      <c r="LQ73" s="65"/>
      <c r="LR73" s="13"/>
      <c r="LS73" s="14"/>
      <c r="LU73" s="65"/>
      <c r="LV73" s="13"/>
      <c r="LW73" s="14"/>
      <c r="LY73" s="65"/>
      <c r="LZ73" s="13"/>
      <c r="MA73" s="14"/>
      <c r="MC73" s="65"/>
      <c r="MD73" s="13"/>
      <c r="ME73" s="14"/>
      <c r="MG73" s="65"/>
      <c r="MH73" s="13"/>
      <c r="MI73" s="14"/>
      <c r="MK73" s="65"/>
      <c r="ML73" s="13"/>
      <c r="MM73" s="14"/>
      <c r="MO73" s="65"/>
      <c r="MP73" s="13"/>
      <c r="MQ73" s="14"/>
      <c r="MS73" s="65"/>
      <c r="MT73" s="13"/>
      <c r="MU73" s="14"/>
    </row>
    <row r="74" spans="1:359" x14ac:dyDescent="0.25">
      <c r="A74" s="15">
        <f t="shared" si="171"/>
        <v>733218.73005964467</v>
      </c>
      <c r="B74" s="20">
        <v>42768</v>
      </c>
      <c r="D74" s="12">
        <v>102</v>
      </c>
      <c r="E74" s="17">
        <v>1141385.8469016461</v>
      </c>
      <c r="F74" s="14">
        <v>42498</v>
      </c>
      <c r="I74" s="12"/>
      <c r="J74" s="13"/>
      <c r="K74" s="14"/>
      <c r="N74" s="12">
        <f t="shared" ref="N74:N106" si="182">+N73-1</f>
        <v>32</v>
      </c>
      <c r="O74" s="13">
        <f t="shared" si="172"/>
        <v>733218.73005964467</v>
      </c>
      <c r="P74" s="14">
        <v>42768</v>
      </c>
      <c r="T74" s="15"/>
      <c r="U74" s="20"/>
      <c r="W74" s="12"/>
      <c r="X74" s="17"/>
      <c r="Y74" s="14"/>
      <c r="AB74" s="12"/>
      <c r="AC74" s="13"/>
      <c r="AD74" s="14"/>
      <c r="AG74" s="12"/>
      <c r="AH74" s="13"/>
      <c r="AI74" s="14"/>
      <c r="AK74" s="12"/>
      <c r="AL74" s="13"/>
      <c r="AM74" s="14"/>
      <c r="CK74" s="65">
        <f t="shared" ref="CK74" si="183">+CK73-1</f>
        <v>0</v>
      </c>
      <c r="CL74" s="13">
        <f>($CM$2/(1+$CM$4*CK74/360))*0</f>
        <v>0</v>
      </c>
      <c r="CM74" s="14">
        <v>43055</v>
      </c>
      <c r="CO74" s="65"/>
      <c r="CP74" s="13"/>
      <c r="CQ74" s="14"/>
      <c r="CS74" s="65"/>
      <c r="CT74" s="13"/>
      <c r="CU74" s="14"/>
      <c r="CW74" s="65"/>
      <c r="CX74" s="13"/>
      <c r="CY74" s="14"/>
      <c r="DA74" s="65"/>
      <c r="DB74" s="13"/>
      <c r="DC74" s="14"/>
      <c r="DE74" s="65"/>
      <c r="DF74" s="13"/>
      <c r="DG74" s="14"/>
      <c r="DI74" s="65"/>
      <c r="DJ74" s="13"/>
      <c r="DK74" s="14"/>
      <c r="DM74" s="65"/>
      <c r="DN74" s="13"/>
      <c r="DO74" s="14"/>
      <c r="DQ74" s="65"/>
      <c r="DR74" s="13"/>
      <c r="DS74" s="14"/>
      <c r="DU74" s="65">
        <f t="shared" ref="DU74:DU100" si="184">+DU73-1</f>
        <v>26</v>
      </c>
      <c r="DV74" s="13">
        <f t="shared" si="174"/>
        <v>2335631.4414322255</v>
      </c>
      <c r="DW74" s="14">
        <v>43076</v>
      </c>
      <c r="DY74" s="65">
        <f t="shared" ref="DY74:DY111" si="185">+DY73-1</f>
        <v>37</v>
      </c>
      <c r="DZ74" s="13">
        <f t="shared" si="175"/>
        <v>793938.38275790995</v>
      </c>
      <c r="EA74" s="14">
        <v>43079</v>
      </c>
      <c r="EC74" s="65"/>
      <c r="ED74" s="13"/>
      <c r="EE74" s="14"/>
      <c r="EG74" s="65"/>
      <c r="EH74" s="13"/>
      <c r="EI74" s="14"/>
      <c r="EK74" s="65"/>
      <c r="EL74" s="13"/>
      <c r="EM74" s="14"/>
      <c r="EO74" s="65">
        <f t="shared" ref="EO74:EO85" si="186">+EO73-1</f>
        <v>11</v>
      </c>
      <c r="EP74" s="13">
        <f t="shared" si="176"/>
        <v>1282869.215681646</v>
      </c>
      <c r="EQ74" s="14">
        <v>43091</v>
      </c>
      <c r="ES74" s="65"/>
      <c r="ET74" s="13"/>
      <c r="EU74" s="14"/>
      <c r="EW74" s="65"/>
      <c r="EX74" s="13"/>
      <c r="EY74" s="14"/>
      <c r="FA74" s="65">
        <f t="shared" ref="FA74:FA84" si="187">+FA73-1</f>
        <v>10</v>
      </c>
      <c r="FB74" s="13">
        <f t="shared" si="177"/>
        <v>1262450.2500213708</v>
      </c>
      <c r="FC74" s="14">
        <v>43098</v>
      </c>
      <c r="FE74" s="65">
        <f t="shared" ref="FE74:FE79" si="188">+FE73-1</f>
        <v>5</v>
      </c>
      <c r="FF74" s="13">
        <f t="shared" si="178"/>
        <v>3159819.688763483</v>
      </c>
      <c r="FG74" s="14">
        <v>43098</v>
      </c>
      <c r="FI74" s="65">
        <f t="shared" ref="FI74:FI76" si="189">+FI73-1</f>
        <v>2</v>
      </c>
      <c r="FJ74" s="13">
        <f t="shared" si="179"/>
        <v>1745374.846504997</v>
      </c>
      <c r="FK74" s="14">
        <v>43100</v>
      </c>
      <c r="FM74" s="65"/>
      <c r="FN74" s="13"/>
      <c r="FO74" s="14"/>
      <c r="FQ74" s="65"/>
      <c r="FR74" s="13"/>
      <c r="FS74" s="14"/>
      <c r="FU74" s="65"/>
      <c r="FV74" s="13"/>
      <c r="FW74" s="14"/>
      <c r="FY74" s="65"/>
      <c r="FZ74" s="13"/>
      <c r="GA74" s="14"/>
      <c r="GC74" s="65"/>
      <c r="GD74" s="13"/>
      <c r="GE74" s="14"/>
      <c r="GG74" s="65"/>
      <c r="GH74" s="13"/>
      <c r="GI74" s="14"/>
      <c r="GK74" s="65"/>
      <c r="GL74" s="13"/>
      <c r="GM74" s="14"/>
      <c r="GO74" s="65"/>
      <c r="GP74" s="13"/>
      <c r="GQ74" s="14"/>
      <c r="GS74" s="65"/>
      <c r="GT74" s="13"/>
      <c r="GU74" s="14"/>
      <c r="GW74" s="65"/>
      <c r="GX74" s="13"/>
      <c r="GY74" s="14"/>
      <c r="HA74" s="65"/>
      <c r="HB74" s="13"/>
      <c r="HC74" s="14"/>
      <c r="HE74" s="65"/>
      <c r="HF74" s="13"/>
      <c r="HG74" s="14"/>
      <c r="HI74" s="65"/>
      <c r="HJ74" s="13"/>
      <c r="HK74" s="14"/>
      <c r="HM74" s="65"/>
      <c r="HN74" s="13"/>
      <c r="HO74" s="14"/>
      <c r="HQ74" s="65"/>
      <c r="HR74" s="13"/>
      <c r="HS74" s="14"/>
      <c r="HU74" s="65"/>
      <c r="HV74" s="13"/>
      <c r="HW74" s="14"/>
      <c r="HY74" s="65"/>
      <c r="HZ74" s="13"/>
      <c r="IA74" s="14"/>
      <c r="IC74" s="65"/>
      <c r="ID74" s="13"/>
      <c r="IE74" s="14"/>
      <c r="IG74" s="65"/>
      <c r="IH74" s="13"/>
      <c r="II74" s="14"/>
      <c r="IK74" s="65"/>
      <c r="IL74" s="13"/>
      <c r="IM74" s="14"/>
      <c r="IO74" s="65"/>
      <c r="IP74" s="13"/>
      <c r="IQ74" s="14"/>
      <c r="IS74" s="65"/>
      <c r="IT74" s="13"/>
      <c r="IU74" s="14"/>
      <c r="IW74" s="65"/>
      <c r="IX74" s="13"/>
      <c r="IY74" s="14"/>
      <c r="JA74" s="65"/>
      <c r="JB74" s="13"/>
      <c r="JC74" s="14"/>
      <c r="JE74" s="65"/>
      <c r="JF74" s="13"/>
      <c r="JG74" s="14"/>
      <c r="JI74" s="65"/>
      <c r="JJ74" s="13"/>
      <c r="JK74" s="14"/>
      <c r="JM74" s="65"/>
      <c r="JN74" s="13"/>
      <c r="JO74" s="14"/>
      <c r="JQ74" s="65"/>
      <c r="JR74" s="13"/>
      <c r="JS74" s="14"/>
      <c r="JU74" s="65"/>
      <c r="JV74" s="13"/>
      <c r="JW74" s="14"/>
      <c r="JY74" s="65"/>
      <c r="JZ74" s="13"/>
      <c r="KA74" s="14"/>
      <c r="KC74" s="65"/>
      <c r="KD74" s="13"/>
      <c r="KE74" s="14"/>
      <c r="KG74" s="65"/>
      <c r="KH74" s="13"/>
      <c r="KI74" s="14"/>
      <c r="KK74" s="65"/>
      <c r="KL74" s="13"/>
      <c r="KM74" s="14"/>
      <c r="KO74" s="65"/>
      <c r="KP74" s="13"/>
      <c r="KQ74" s="14"/>
      <c r="KS74" s="65"/>
      <c r="KT74" s="13"/>
      <c r="KU74" s="14"/>
      <c r="KW74" s="65"/>
      <c r="KX74" s="13"/>
      <c r="KY74" s="14"/>
      <c r="LA74" s="65">
        <f t="shared" ref="LA74:LA87" si="190">+LA73-1</f>
        <v>13</v>
      </c>
      <c r="LB74" s="13">
        <f t="shared" si="180"/>
        <v>2639813.2504389621</v>
      </c>
      <c r="LC74" s="14">
        <v>43251</v>
      </c>
      <c r="LE74" s="65"/>
      <c r="LF74" s="13"/>
      <c r="LG74" s="14"/>
      <c r="LI74" s="65"/>
      <c r="LJ74" s="13"/>
      <c r="LK74" s="14"/>
      <c r="LM74" s="65">
        <f t="shared" ref="LM74:LM75" si="191">+LM73-1</f>
        <v>1</v>
      </c>
      <c r="LN74" s="13">
        <f t="shared" si="181"/>
        <v>746128.62059109227</v>
      </c>
      <c r="LO74" s="14">
        <v>43261</v>
      </c>
      <c r="LQ74" s="65"/>
      <c r="LR74" s="13"/>
      <c r="LS74" s="14"/>
      <c r="LU74" s="65"/>
      <c r="LV74" s="13"/>
      <c r="LW74" s="14"/>
      <c r="LY74" s="65"/>
      <c r="LZ74" s="13"/>
      <c r="MA74" s="14"/>
      <c r="MC74" s="65"/>
      <c r="MD74" s="13"/>
      <c r="ME74" s="14"/>
      <c r="MG74" s="65"/>
      <c r="MH74" s="13"/>
      <c r="MI74" s="14"/>
      <c r="MK74" s="65"/>
      <c r="ML74" s="13"/>
      <c r="MM74" s="14"/>
      <c r="MO74" s="65"/>
      <c r="MP74" s="13"/>
      <c r="MQ74" s="14"/>
      <c r="MS74" s="65"/>
      <c r="MT74" s="13"/>
      <c r="MU74" s="14"/>
    </row>
    <row r="75" spans="1:359" x14ac:dyDescent="0.25">
      <c r="A75" s="15">
        <f t="shared" si="171"/>
        <v>733248.12349418201</v>
      </c>
      <c r="B75" s="20">
        <v>42769</v>
      </c>
      <c r="D75" s="12">
        <v>101</v>
      </c>
      <c r="E75" s="17">
        <v>1141413.0256248647</v>
      </c>
      <c r="F75" s="14">
        <v>42499</v>
      </c>
      <c r="I75" s="12"/>
      <c r="J75" s="13"/>
      <c r="K75" s="14"/>
      <c r="N75" s="12">
        <f t="shared" si="182"/>
        <v>31</v>
      </c>
      <c r="O75" s="13">
        <f t="shared" si="172"/>
        <v>733248.12349418201</v>
      </c>
      <c r="P75" s="14">
        <v>42769</v>
      </c>
      <c r="T75" s="15"/>
      <c r="U75" s="20"/>
      <c r="W75" s="12"/>
      <c r="X75" s="17"/>
      <c r="Y75" s="14"/>
      <c r="AB75" s="12"/>
      <c r="AC75" s="13"/>
      <c r="AD75" s="14"/>
      <c r="AG75" s="12"/>
      <c r="AH75" s="13"/>
      <c r="AI75" s="14"/>
      <c r="AK75" s="12"/>
      <c r="AL75" s="13"/>
      <c r="AM75" s="14"/>
      <c r="CK75" s="65"/>
      <c r="CL75" s="13"/>
      <c r="CO75" s="65"/>
      <c r="CP75" s="13"/>
      <c r="CS75" s="65"/>
      <c r="CT75" s="13"/>
      <c r="CW75" s="65"/>
      <c r="CX75" s="13"/>
      <c r="DA75" s="65"/>
      <c r="DB75" s="13"/>
      <c r="DE75" s="65"/>
      <c r="DF75" s="13"/>
      <c r="DI75" s="65"/>
      <c r="DJ75" s="13"/>
      <c r="DM75" s="65"/>
      <c r="DN75" s="13"/>
      <c r="DQ75" s="65"/>
      <c r="DR75" s="13"/>
      <c r="DU75" s="65">
        <f t="shared" si="184"/>
        <v>25</v>
      </c>
      <c r="DV75" s="13">
        <f t="shared" si="174"/>
        <v>2335746.7911210167</v>
      </c>
      <c r="DW75" s="14">
        <v>43077</v>
      </c>
      <c r="DY75" s="65">
        <f t="shared" si="185"/>
        <v>36</v>
      </c>
      <c r="DZ75" s="13">
        <f t="shared" si="175"/>
        <v>793980.01430776995</v>
      </c>
      <c r="EA75" s="14">
        <v>43080</v>
      </c>
      <c r="EC75" s="65"/>
      <c r="ED75" s="13"/>
      <c r="EE75" s="14"/>
      <c r="EG75" s="65"/>
      <c r="EH75" s="13"/>
      <c r="EI75" s="14"/>
      <c r="EK75" s="65"/>
      <c r="EL75" s="13"/>
      <c r="EM75" s="14"/>
      <c r="EO75" s="65">
        <f t="shared" si="186"/>
        <v>10</v>
      </c>
      <c r="EP75" s="13">
        <f t="shared" si="176"/>
        <v>1282944.4291523958</v>
      </c>
      <c r="EQ75" s="14">
        <v>43092</v>
      </c>
      <c r="ES75" s="65"/>
      <c r="ET75" s="13"/>
      <c r="EU75" s="14"/>
      <c r="EW75" s="65"/>
      <c r="EX75" s="13"/>
      <c r="EY75" s="14"/>
      <c r="FA75" s="65">
        <f t="shared" si="187"/>
        <v>9</v>
      </c>
      <c r="FB75" s="13">
        <f t="shared" si="177"/>
        <v>1262525.6279386487</v>
      </c>
      <c r="FC75" s="14">
        <v>43099</v>
      </c>
      <c r="FE75" s="65">
        <f t="shared" si="188"/>
        <v>4</v>
      </c>
      <c r="FF75" s="13">
        <f t="shared" si="178"/>
        <v>3159996.9308459591</v>
      </c>
      <c r="FG75" s="14">
        <v>43099</v>
      </c>
      <c r="FI75" s="65">
        <f t="shared" si="189"/>
        <v>1</v>
      </c>
      <c r="FJ75" s="13">
        <f t="shared" si="179"/>
        <v>1745481.6291946759</v>
      </c>
      <c r="FK75" s="14">
        <v>43101</v>
      </c>
      <c r="FM75" s="65"/>
      <c r="FN75" s="13"/>
      <c r="FO75" s="14"/>
      <c r="FQ75" s="65"/>
      <c r="FR75" s="13"/>
      <c r="FS75" s="14"/>
      <c r="FU75" s="65"/>
      <c r="FV75" s="13"/>
      <c r="FW75" s="14"/>
      <c r="FY75" s="65"/>
      <c r="FZ75" s="13"/>
      <c r="GA75" s="14"/>
      <c r="GC75" s="65"/>
      <c r="GD75" s="13"/>
      <c r="GE75" s="14"/>
      <c r="GG75" s="65"/>
      <c r="GH75" s="13"/>
      <c r="GI75" s="14"/>
      <c r="GK75" s="65"/>
      <c r="GL75" s="13"/>
      <c r="GM75" s="14"/>
      <c r="GO75" s="65"/>
      <c r="GP75" s="13"/>
      <c r="GQ75" s="14"/>
      <c r="GS75" s="65"/>
      <c r="GT75" s="13"/>
      <c r="GU75" s="14"/>
      <c r="GW75" s="65"/>
      <c r="GX75" s="13"/>
      <c r="GY75" s="14"/>
      <c r="HA75" s="65"/>
      <c r="HB75" s="13"/>
      <c r="HC75" s="14"/>
      <c r="HE75" s="65"/>
      <c r="HF75" s="13"/>
      <c r="HG75" s="14"/>
      <c r="HI75" s="65"/>
      <c r="HJ75" s="13"/>
      <c r="HK75" s="14"/>
      <c r="HM75" s="65"/>
      <c r="HN75" s="13"/>
      <c r="HO75" s="14"/>
      <c r="HQ75" s="65"/>
      <c r="HR75" s="13"/>
      <c r="HS75" s="14"/>
      <c r="HU75" s="65"/>
      <c r="HV75" s="13"/>
      <c r="HW75" s="14"/>
      <c r="HY75" s="65"/>
      <c r="HZ75" s="13"/>
      <c r="IA75" s="14"/>
      <c r="IC75" s="65"/>
      <c r="ID75" s="13"/>
      <c r="IE75" s="14"/>
      <c r="IG75" s="65"/>
      <c r="IH75" s="13"/>
      <c r="II75" s="14"/>
      <c r="IK75" s="65"/>
      <c r="IL75" s="13"/>
      <c r="IM75" s="14"/>
      <c r="IO75" s="65"/>
      <c r="IP75" s="13"/>
      <c r="IQ75" s="14"/>
      <c r="IS75" s="65"/>
      <c r="IT75" s="13"/>
      <c r="IU75" s="14"/>
      <c r="IW75" s="65"/>
      <c r="IX75" s="13"/>
      <c r="IY75" s="14"/>
      <c r="JA75" s="65"/>
      <c r="JB75" s="13"/>
      <c r="JC75" s="14"/>
      <c r="JE75" s="65"/>
      <c r="JF75" s="13"/>
      <c r="JG75" s="14"/>
      <c r="JI75" s="65"/>
      <c r="JJ75" s="13"/>
      <c r="JK75" s="14"/>
      <c r="JM75" s="65"/>
      <c r="JN75" s="13"/>
      <c r="JO75" s="14"/>
      <c r="JQ75" s="65"/>
      <c r="JR75" s="13"/>
      <c r="JS75" s="14"/>
      <c r="JU75" s="65"/>
      <c r="JV75" s="13"/>
      <c r="JW75" s="14"/>
      <c r="JY75" s="65"/>
      <c r="JZ75" s="13"/>
      <c r="KA75" s="14"/>
      <c r="KC75" s="65"/>
      <c r="KD75" s="13"/>
      <c r="KE75" s="14"/>
      <c r="KG75" s="65"/>
      <c r="KH75" s="13"/>
      <c r="KI75" s="14"/>
      <c r="KK75" s="65"/>
      <c r="KL75" s="13"/>
      <c r="KM75" s="14"/>
      <c r="KO75" s="65"/>
      <c r="KP75" s="13"/>
      <c r="KQ75" s="14"/>
      <c r="KS75" s="65"/>
      <c r="KT75" s="13"/>
      <c r="KU75" s="14"/>
      <c r="KW75" s="65"/>
      <c r="KX75" s="13"/>
      <c r="KY75" s="14"/>
      <c r="LA75" s="65">
        <f t="shared" si="190"/>
        <v>12</v>
      </c>
      <c r="LB75" s="13">
        <f t="shared" si="180"/>
        <v>2640015.45009781</v>
      </c>
      <c r="LC75" s="14">
        <v>43252</v>
      </c>
      <c r="LE75" s="65"/>
      <c r="LF75" s="13"/>
      <c r="LG75" s="14"/>
      <c r="LI75" s="65"/>
      <c r="LJ75" s="13"/>
      <c r="LK75" s="14"/>
      <c r="LM75" s="65">
        <f t="shared" si="191"/>
        <v>0</v>
      </c>
      <c r="LN75" s="13">
        <f t="shared" si="181"/>
        <v>746182.03772353136</v>
      </c>
      <c r="LO75" s="14">
        <v>43262</v>
      </c>
      <c r="LQ75" s="65"/>
      <c r="LR75" s="13"/>
      <c r="LS75" s="14"/>
      <c r="LU75" s="65"/>
      <c r="LV75" s="13"/>
      <c r="LW75" s="14"/>
      <c r="LY75" s="65"/>
      <c r="LZ75" s="13"/>
      <c r="MA75" s="14"/>
      <c r="MC75" s="65"/>
      <c r="MD75" s="13"/>
      <c r="ME75" s="14"/>
      <c r="MG75" s="65"/>
      <c r="MH75" s="13"/>
      <c r="MI75" s="14"/>
      <c r="MK75" s="65"/>
      <c r="ML75" s="13"/>
      <c r="MM75" s="14"/>
      <c r="MO75" s="65"/>
      <c r="MP75" s="13"/>
      <c r="MQ75" s="14"/>
      <c r="MS75" s="65"/>
      <c r="MT75" s="13"/>
      <c r="MU75" s="14"/>
    </row>
    <row r="76" spans="1:359" x14ac:dyDescent="0.25">
      <c r="A76" s="15">
        <f t="shared" si="171"/>
        <v>733277.5192854749</v>
      </c>
      <c r="B76" s="20">
        <v>42770</v>
      </c>
      <c r="D76" s="12">
        <v>100</v>
      </c>
      <c r="E76" s="12">
        <v>1141440.2056424762</v>
      </c>
      <c r="F76" s="14">
        <v>42500</v>
      </c>
      <c r="I76" s="12"/>
      <c r="J76" s="13"/>
      <c r="K76" s="14"/>
      <c r="N76" s="12">
        <f t="shared" si="182"/>
        <v>30</v>
      </c>
      <c r="O76" s="13">
        <f t="shared" si="172"/>
        <v>733277.5192854749</v>
      </c>
      <c r="P76" s="14">
        <v>42770</v>
      </c>
      <c r="T76" s="15"/>
      <c r="U76" s="20"/>
      <c r="W76" s="12"/>
      <c r="X76" s="12"/>
      <c r="Y76" s="14"/>
      <c r="AB76" s="12"/>
      <c r="AC76" s="13"/>
      <c r="AD76" s="14"/>
      <c r="AG76" s="12"/>
      <c r="AH76" s="13"/>
      <c r="AI76" s="14"/>
      <c r="AK76" s="12"/>
      <c r="AL76" s="13"/>
      <c r="AM76" s="14"/>
      <c r="CK76" s="65"/>
      <c r="CL76" s="13"/>
      <c r="CO76" s="65"/>
      <c r="CP76" s="13"/>
      <c r="CS76" s="65"/>
      <c r="CT76" s="13"/>
      <c r="CW76" s="65"/>
      <c r="CX76" s="13"/>
      <c r="DA76" s="65"/>
      <c r="DB76" s="13"/>
      <c r="DE76" s="65"/>
      <c r="DF76" s="13"/>
      <c r="DI76" s="65"/>
      <c r="DJ76" s="13"/>
      <c r="DM76" s="65"/>
      <c r="DN76" s="13"/>
      <c r="DQ76" s="65"/>
      <c r="DR76" s="13"/>
      <c r="DU76" s="65">
        <f t="shared" si="184"/>
        <v>24</v>
      </c>
      <c r="DV76" s="13">
        <f t="shared" si="174"/>
        <v>2335862.1522039068</v>
      </c>
      <c r="DW76" s="14">
        <v>43078</v>
      </c>
      <c r="DY76" s="65">
        <f t="shared" si="185"/>
        <v>35</v>
      </c>
      <c r="DZ76" s="13">
        <f t="shared" si="175"/>
        <v>794021.6502239051</v>
      </c>
      <c r="EA76" s="14">
        <v>43081</v>
      </c>
      <c r="EC76" s="65"/>
      <c r="ED76" s="13"/>
      <c r="EE76" s="14"/>
      <c r="EG76" s="65"/>
      <c r="EH76" s="13"/>
      <c r="EI76" s="14"/>
      <c r="EK76" s="65"/>
      <c r="EL76" s="13"/>
      <c r="EM76" s="14"/>
      <c r="EO76" s="65">
        <f t="shared" si="186"/>
        <v>9</v>
      </c>
      <c r="EP76" s="13">
        <f t="shared" si="176"/>
        <v>1283019.6514430596</v>
      </c>
      <c r="EQ76" s="14">
        <v>43093</v>
      </c>
      <c r="ES76" s="65"/>
      <c r="ET76" s="13"/>
      <c r="EU76" s="14"/>
      <c r="EW76" s="65"/>
      <c r="EX76" s="13"/>
      <c r="EY76" s="14"/>
      <c r="FA76" s="65">
        <f t="shared" si="187"/>
        <v>8</v>
      </c>
      <c r="FB76" s="13">
        <f t="shared" si="177"/>
        <v>1262601.0148577378</v>
      </c>
      <c r="FC76" s="14">
        <v>43100</v>
      </c>
      <c r="FE76" s="65">
        <f t="shared" si="188"/>
        <v>3</v>
      </c>
      <c r="FF76" s="13">
        <f t="shared" si="178"/>
        <v>3160174.1928134416</v>
      </c>
      <c r="FG76" s="14">
        <v>43100</v>
      </c>
      <c r="FI76" s="65">
        <f t="shared" si="189"/>
        <v>0</v>
      </c>
      <c r="FJ76" s="13">
        <f>($FK$2/(1+$FK$4*FI76/360))*0</f>
        <v>0</v>
      </c>
      <c r="FK76" s="14">
        <v>43102</v>
      </c>
      <c r="FM76" s="65"/>
      <c r="FN76" s="13"/>
      <c r="FO76" s="14"/>
      <c r="FQ76" s="65"/>
      <c r="FR76" s="13"/>
      <c r="FS76" s="14"/>
      <c r="FU76" s="65"/>
      <c r="FV76" s="13"/>
      <c r="FW76" s="14"/>
      <c r="FY76" s="65"/>
      <c r="FZ76" s="13"/>
      <c r="GA76" s="14"/>
      <c r="GC76" s="65"/>
      <c r="GD76" s="13"/>
      <c r="GE76" s="14"/>
      <c r="GG76" s="65"/>
      <c r="GH76" s="13"/>
      <c r="GI76" s="14"/>
      <c r="GK76" s="65"/>
      <c r="GL76" s="13"/>
      <c r="GM76" s="14"/>
      <c r="GO76" s="65"/>
      <c r="GP76" s="13"/>
      <c r="GQ76" s="14"/>
      <c r="GS76" s="65"/>
      <c r="GT76" s="13"/>
      <c r="GU76" s="14"/>
      <c r="GW76" s="65"/>
      <c r="GX76" s="13"/>
      <c r="GY76" s="14"/>
      <c r="HA76" s="65"/>
      <c r="HB76" s="13"/>
      <c r="HC76" s="14"/>
      <c r="HE76" s="65"/>
      <c r="HF76" s="13"/>
      <c r="HG76" s="14"/>
      <c r="HI76" s="65"/>
      <c r="HJ76" s="13"/>
      <c r="HK76" s="14"/>
      <c r="HM76" s="65"/>
      <c r="HN76" s="13"/>
      <c r="HO76" s="14"/>
      <c r="HQ76" s="65"/>
      <c r="HR76" s="13"/>
      <c r="HS76" s="14"/>
      <c r="HU76" s="65"/>
      <c r="HV76" s="13"/>
      <c r="HW76" s="14"/>
      <c r="HY76" s="65"/>
      <c r="HZ76" s="13"/>
      <c r="IA76" s="14"/>
      <c r="IC76" s="65"/>
      <c r="ID76" s="13"/>
      <c r="IE76" s="14"/>
      <c r="IG76" s="65"/>
      <c r="IH76" s="13"/>
      <c r="II76" s="14"/>
      <c r="IK76" s="65"/>
      <c r="IL76" s="13"/>
      <c r="IM76" s="14"/>
      <c r="IO76" s="65"/>
      <c r="IP76" s="13"/>
      <c r="IQ76" s="14"/>
      <c r="IS76" s="65"/>
      <c r="IT76" s="13"/>
      <c r="IU76" s="14"/>
      <c r="IW76" s="65"/>
      <c r="IX76" s="13"/>
      <c r="IY76" s="14"/>
      <c r="JA76" s="65"/>
      <c r="JB76" s="13"/>
      <c r="JC76" s="14"/>
      <c r="JE76" s="65"/>
      <c r="JF76" s="13"/>
      <c r="JG76" s="14"/>
      <c r="JI76" s="65"/>
      <c r="JJ76" s="13"/>
      <c r="JK76" s="14"/>
      <c r="JM76" s="65"/>
      <c r="JN76" s="13"/>
      <c r="JO76" s="14"/>
      <c r="JQ76" s="65"/>
      <c r="JR76" s="13"/>
      <c r="JS76" s="14"/>
      <c r="JU76" s="65"/>
      <c r="JV76" s="13"/>
      <c r="JW76" s="14"/>
      <c r="JY76" s="65"/>
      <c r="JZ76" s="13"/>
      <c r="KA76" s="14"/>
      <c r="KC76" s="65"/>
      <c r="KD76" s="13"/>
      <c r="KE76" s="14"/>
      <c r="KG76" s="65"/>
      <c r="KH76" s="13"/>
      <c r="KI76" s="14"/>
      <c r="KK76" s="65"/>
      <c r="KL76" s="13"/>
      <c r="KM76" s="14"/>
      <c r="KO76" s="65"/>
      <c r="KP76" s="13"/>
      <c r="KQ76" s="14"/>
      <c r="KS76" s="65"/>
      <c r="KT76" s="13"/>
      <c r="KU76" s="14"/>
      <c r="KW76" s="65"/>
      <c r="KX76" s="13"/>
      <c r="KY76" s="14"/>
      <c r="LA76" s="65">
        <f t="shared" si="190"/>
        <v>11</v>
      </c>
      <c r="LB76" s="13">
        <f t="shared" si="180"/>
        <v>2640217.6807344807</v>
      </c>
      <c r="LC76" s="14">
        <v>43253</v>
      </c>
      <c r="LE76" s="65"/>
      <c r="LF76" s="13"/>
      <c r="LG76" s="14"/>
      <c r="LI76" s="65"/>
      <c r="LJ76" s="13"/>
      <c r="LK76" s="14"/>
      <c r="LM76" s="65"/>
      <c r="LN76" s="13"/>
      <c r="LO76" s="14"/>
      <c r="LQ76" s="65"/>
      <c r="LR76" s="13"/>
      <c r="LS76" s="14"/>
      <c r="LU76" s="65"/>
      <c r="LV76" s="13"/>
      <c r="LW76" s="14"/>
      <c r="LY76" s="65"/>
      <c r="LZ76" s="13"/>
      <c r="MA76" s="14"/>
      <c r="MC76" s="65"/>
      <c r="MD76" s="13"/>
      <c r="ME76" s="14"/>
      <c r="MG76" s="65"/>
      <c r="MH76" s="13"/>
      <c r="MI76" s="14"/>
      <c r="MK76" s="65"/>
      <c r="ML76" s="13"/>
      <c r="MM76" s="14"/>
      <c r="MO76" s="65"/>
      <c r="MP76" s="13"/>
      <c r="MQ76" s="14"/>
      <c r="MS76" s="65"/>
      <c r="MT76" s="13"/>
      <c r="MU76" s="14"/>
    </row>
    <row r="77" spans="1:359" x14ac:dyDescent="0.25">
      <c r="A77" s="15">
        <f t="shared" si="171"/>
        <v>733306.9174338067</v>
      </c>
      <c r="B77" s="20">
        <v>42771</v>
      </c>
      <c r="D77" s="12">
        <v>99</v>
      </c>
      <c r="E77" s="12">
        <v>1141467.3869545723</v>
      </c>
      <c r="F77" s="14">
        <v>42501</v>
      </c>
      <c r="I77" s="12"/>
      <c r="J77" s="13"/>
      <c r="K77" s="14"/>
      <c r="N77" s="12">
        <f t="shared" si="182"/>
        <v>29</v>
      </c>
      <c r="O77" s="13">
        <f t="shared" si="172"/>
        <v>733306.9174338067</v>
      </c>
      <c r="P77" s="14">
        <v>42771</v>
      </c>
      <c r="T77" s="15"/>
      <c r="U77" s="20"/>
      <c r="W77" s="12"/>
      <c r="X77" s="12"/>
      <c r="Y77" s="14"/>
      <c r="AB77" s="12"/>
      <c r="AC77" s="13"/>
      <c r="AD77" s="14"/>
      <c r="AG77" s="12"/>
      <c r="AH77" s="13"/>
      <c r="AI77" s="14"/>
      <c r="AK77" s="12"/>
      <c r="AL77" s="13"/>
      <c r="AM77" s="14"/>
      <c r="CK77" s="65"/>
      <c r="CL77" s="13"/>
      <c r="CO77" s="65"/>
      <c r="CP77" s="13"/>
      <c r="CS77" s="65"/>
      <c r="CT77" s="13"/>
      <c r="CW77" s="65"/>
      <c r="CX77" s="13"/>
      <c r="DA77" s="65"/>
      <c r="DB77" s="13"/>
      <c r="DE77" s="65"/>
      <c r="DF77" s="13"/>
      <c r="DI77" s="65"/>
      <c r="DJ77" s="13"/>
      <c r="DM77" s="65"/>
      <c r="DN77" s="13"/>
      <c r="DQ77" s="65"/>
      <c r="DR77" s="13"/>
      <c r="DU77" s="65">
        <f t="shared" si="184"/>
        <v>23</v>
      </c>
      <c r="DV77" s="13">
        <f t="shared" si="174"/>
        <v>2335977.5246825838</v>
      </c>
      <c r="DW77" s="14">
        <v>43079</v>
      </c>
      <c r="DY77" s="65">
        <f t="shared" si="185"/>
        <v>34</v>
      </c>
      <c r="DZ77" s="13">
        <f t="shared" si="175"/>
        <v>794063.29050700285</v>
      </c>
      <c r="EA77" s="14">
        <v>43082</v>
      </c>
      <c r="EC77" s="65"/>
      <c r="ED77" s="13"/>
      <c r="EE77" s="14"/>
      <c r="EG77" s="65"/>
      <c r="EH77" s="13"/>
      <c r="EI77" s="14"/>
      <c r="EK77" s="65"/>
      <c r="EL77" s="13"/>
      <c r="EM77" s="14"/>
      <c r="EO77" s="65">
        <f t="shared" si="186"/>
        <v>8</v>
      </c>
      <c r="EP77" s="13">
        <f t="shared" si="176"/>
        <v>1283094.8825551881</v>
      </c>
      <c r="EQ77" s="14">
        <v>43094</v>
      </c>
      <c r="ES77" s="65"/>
      <c r="ET77" s="13"/>
      <c r="EU77" s="14"/>
      <c r="EW77" s="65"/>
      <c r="EX77" s="13"/>
      <c r="EY77" s="14"/>
      <c r="FA77" s="65">
        <f t="shared" si="187"/>
        <v>7</v>
      </c>
      <c r="FB77" s="13">
        <f t="shared" si="177"/>
        <v>1262676.4107802517</v>
      </c>
      <c r="FC77" s="14">
        <v>43101</v>
      </c>
      <c r="FE77" s="65">
        <f t="shared" si="188"/>
        <v>2</v>
      </c>
      <c r="FF77" s="13">
        <f t="shared" si="178"/>
        <v>3160351.4746692781</v>
      </c>
      <c r="FG77" s="14">
        <v>43101</v>
      </c>
      <c r="FI77" s="65"/>
      <c r="FJ77" s="13"/>
      <c r="FK77" s="14"/>
      <c r="FM77" s="65"/>
      <c r="FN77" s="13"/>
      <c r="FO77" s="14"/>
      <c r="FQ77" s="65"/>
      <c r="FR77" s="13"/>
      <c r="FS77" s="14"/>
      <c r="FU77" s="65"/>
      <c r="FV77" s="13"/>
      <c r="FW77" s="14"/>
      <c r="FY77" s="65"/>
      <c r="FZ77" s="13"/>
      <c r="GA77" s="14"/>
      <c r="GC77" s="65"/>
      <c r="GD77" s="13"/>
      <c r="GE77" s="14"/>
      <c r="GG77" s="65"/>
      <c r="GH77" s="13"/>
      <c r="GI77" s="14"/>
      <c r="GK77" s="65"/>
      <c r="GL77" s="13"/>
      <c r="GM77" s="14"/>
      <c r="GO77" s="65"/>
      <c r="GP77" s="13"/>
      <c r="GQ77" s="14"/>
      <c r="GS77" s="65"/>
      <c r="GT77" s="13"/>
      <c r="GU77" s="14"/>
      <c r="GW77" s="65"/>
      <c r="GX77" s="13"/>
      <c r="GY77" s="14"/>
      <c r="HA77" s="65"/>
      <c r="HB77" s="13"/>
      <c r="HC77" s="14"/>
      <c r="HE77" s="65"/>
      <c r="HF77" s="13"/>
      <c r="HG77" s="14"/>
      <c r="HI77" s="65"/>
      <c r="HJ77" s="13"/>
      <c r="HK77" s="14"/>
      <c r="HM77" s="65"/>
      <c r="HN77" s="13"/>
      <c r="HO77" s="14"/>
      <c r="HQ77" s="65"/>
      <c r="HR77" s="13"/>
      <c r="HS77" s="14"/>
      <c r="HU77" s="65"/>
      <c r="HV77" s="13"/>
      <c r="HW77" s="14"/>
      <c r="HY77" s="65"/>
      <c r="HZ77" s="13"/>
      <c r="IA77" s="14"/>
      <c r="IC77" s="65"/>
      <c r="ID77" s="13"/>
      <c r="IE77" s="14"/>
      <c r="IG77" s="65"/>
      <c r="IH77" s="13"/>
      <c r="II77" s="14"/>
      <c r="IK77" s="65"/>
      <c r="IL77" s="13"/>
      <c r="IM77" s="14"/>
      <c r="IO77" s="65"/>
      <c r="IP77" s="13"/>
      <c r="IQ77" s="14"/>
      <c r="IS77" s="65"/>
      <c r="IT77" s="13"/>
      <c r="IU77" s="14"/>
      <c r="IW77" s="65"/>
      <c r="IX77" s="13"/>
      <c r="IY77" s="14"/>
      <c r="JA77" s="65"/>
      <c r="JB77" s="13"/>
      <c r="JC77" s="14"/>
      <c r="JE77" s="65"/>
      <c r="JF77" s="13"/>
      <c r="JG77" s="14"/>
      <c r="JI77" s="65"/>
      <c r="JJ77" s="13"/>
      <c r="JK77" s="14"/>
      <c r="JM77" s="65"/>
      <c r="JN77" s="13"/>
      <c r="JO77" s="14"/>
      <c r="JQ77" s="65"/>
      <c r="JR77" s="13"/>
      <c r="JS77" s="14"/>
      <c r="JU77" s="65"/>
      <c r="JV77" s="13"/>
      <c r="JW77" s="14"/>
      <c r="JY77" s="65"/>
      <c r="JZ77" s="13"/>
      <c r="KA77" s="14"/>
      <c r="KC77" s="65"/>
      <c r="KD77" s="13"/>
      <c r="KE77" s="14"/>
      <c r="KG77" s="65"/>
      <c r="KH77" s="13"/>
      <c r="KI77" s="14"/>
      <c r="KK77" s="65"/>
      <c r="KL77" s="13"/>
      <c r="KM77" s="14"/>
      <c r="KO77" s="65"/>
      <c r="KP77" s="13"/>
      <c r="KQ77" s="14"/>
      <c r="KS77" s="65"/>
      <c r="KT77" s="13"/>
      <c r="KU77" s="14"/>
      <c r="KW77" s="65"/>
      <c r="KX77" s="13"/>
      <c r="KY77" s="14"/>
      <c r="LA77" s="65">
        <f t="shared" si="190"/>
        <v>10</v>
      </c>
      <c r="LB77" s="13">
        <f t="shared" si="180"/>
        <v>2640419.9423560938</v>
      </c>
      <c r="LC77" s="14">
        <v>43254</v>
      </c>
      <c r="LE77" s="65"/>
      <c r="LF77" s="13"/>
      <c r="LG77" s="14"/>
      <c r="LI77" s="65"/>
      <c r="LJ77" s="13"/>
      <c r="LK77" s="14"/>
      <c r="LM77" s="65"/>
      <c r="LN77" s="13"/>
      <c r="LO77" s="14"/>
      <c r="LQ77" s="65"/>
      <c r="LR77" s="13"/>
      <c r="LS77" s="14"/>
      <c r="LU77" s="65"/>
      <c r="LV77" s="13"/>
      <c r="LW77" s="14"/>
      <c r="LY77" s="65"/>
      <c r="LZ77" s="13"/>
      <c r="MA77" s="14"/>
      <c r="MC77" s="65"/>
      <c r="MD77" s="13"/>
      <c r="ME77" s="14"/>
      <c r="MG77" s="65"/>
      <c r="MH77" s="13"/>
      <c r="MI77" s="14"/>
      <c r="MK77" s="65"/>
      <c r="ML77" s="13"/>
      <c r="MM77" s="14"/>
      <c r="MO77" s="65"/>
      <c r="MP77" s="13"/>
      <c r="MQ77" s="14"/>
      <c r="MS77" s="65"/>
      <c r="MT77" s="13"/>
      <c r="MU77" s="14"/>
    </row>
    <row r="78" spans="1:359" x14ac:dyDescent="0.25">
      <c r="A78" s="15">
        <f t="shared" si="171"/>
        <v>733336.31793946086</v>
      </c>
      <c r="B78" s="20">
        <v>42772</v>
      </c>
      <c r="D78" s="12">
        <v>98</v>
      </c>
      <c r="E78" s="12">
        <v>1141494.5695612459</v>
      </c>
      <c r="F78" s="14">
        <v>42502</v>
      </c>
      <c r="I78" s="12"/>
      <c r="J78" s="13"/>
      <c r="K78" s="14"/>
      <c r="N78" s="12">
        <f t="shared" si="182"/>
        <v>28</v>
      </c>
      <c r="O78" s="13">
        <f t="shared" si="172"/>
        <v>733336.31793946086</v>
      </c>
      <c r="P78" s="14">
        <v>42772</v>
      </c>
      <c r="T78" s="15"/>
      <c r="U78" s="20"/>
      <c r="W78" s="12"/>
      <c r="X78" s="12"/>
      <c r="Y78" s="14"/>
      <c r="AB78" s="12"/>
      <c r="AC78" s="13"/>
      <c r="AD78" s="14"/>
      <c r="AG78" s="12"/>
      <c r="AH78" s="13"/>
      <c r="AI78" s="14"/>
      <c r="AK78" s="12"/>
      <c r="AL78" s="13"/>
      <c r="AM78" s="14"/>
      <c r="CK78" s="65"/>
      <c r="CL78" s="13"/>
      <c r="CO78" s="65"/>
      <c r="CP78" s="13"/>
      <c r="CS78" s="65"/>
      <c r="CT78" s="13"/>
      <c r="CW78" s="65"/>
      <c r="CX78" s="13"/>
      <c r="DA78" s="65"/>
      <c r="DB78" s="13"/>
      <c r="DE78" s="65"/>
      <c r="DF78" s="13"/>
      <c r="DI78" s="65"/>
      <c r="DJ78" s="13"/>
      <c r="DM78" s="65"/>
      <c r="DN78" s="13"/>
      <c r="DQ78" s="65"/>
      <c r="DR78" s="13"/>
      <c r="DU78" s="65">
        <f t="shared" si="184"/>
        <v>22</v>
      </c>
      <c r="DV78" s="13">
        <f t="shared" si="174"/>
        <v>2336092.908558737</v>
      </c>
      <c r="DW78" s="14">
        <v>43080</v>
      </c>
      <c r="DY78" s="65">
        <f t="shared" si="185"/>
        <v>33</v>
      </c>
      <c r="DZ78" s="13">
        <f t="shared" si="175"/>
        <v>794104.93515774992</v>
      </c>
      <c r="EA78" s="14">
        <v>43083</v>
      </c>
      <c r="EC78" s="65"/>
      <c r="ED78" s="13"/>
      <c r="EE78" s="14"/>
      <c r="EG78" s="65"/>
      <c r="EH78" s="13"/>
      <c r="EI78" s="14"/>
      <c r="EK78" s="65"/>
      <c r="EL78" s="13"/>
      <c r="EM78" s="14"/>
      <c r="EO78" s="65">
        <f t="shared" si="186"/>
        <v>7</v>
      </c>
      <c r="EP78" s="13">
        <f t="shared" si="176"/>
        <v>1283170.1224903339</v>
      </c>
      <c r="EQ78" s="14">
        <v>43095</v>
      </c>
      <c r="ES78" s="65"/>
      <c r="ET78" s="13"/>
      <c r="EU78" s="14"/>
      <c r="EW78" s="65"/>
      <c r="EX78" s="13"/>
      <c r="EY78" s="14"/>
      <c r="FA78" s="65">
        <f t="shared" si="187"/>
        <v>6</v>
      </c>
      <c r="FB78" s="13">
        <f t="shared" si="177"/>
        <v>1262751.8157078025</v>
      </c>
      <c r="FC78" s="14">
        <v>43102</v>
      </c>
      <c r="FE78" s="65">
        <f t="shared" si="188"/>
        <v>1</v>
      </c>
      <c r="FF78" s="13">
        <f t="shared" si="178"/>
        <v>3160528.7764168149</v>
      </c>
      <c r="FG78" s="14">
        <v>43102</v>
      </c>
      <c r="FI78" s="65"/>
      <c r="FJ78" s="13"/>
      <c r="FK78" s="14"/>
      <c r="FM78" s="65"/>
      <c r="FN78" s="13"/>
      <c r="FO78" s="14"/>
      <c r="FQ78" s="65"/>
      <c r="FR78" s="13"/>
      <c r="FS78" s="14"/>
      <c r="FU78" s="65"/>
      <c r="FV78" s="13"/>
      <c r="FW78" s="14"/>
      <c r="FY78" s="65"/>
      <c r="FZ78" s="13"/>
      <c r="GA78" s="14"/>
      <c r="GC78" s="65"/>
      <c r="GD78" s="13"/>
      <c r="GE78" s="14"/>
      <c r="GG78" s="65"/>
      <c r="GH78" s="13"/>
      <c r="GI78" s="14"/>
      <c r="GK78" s="65"/>
      <c r="GL78" s="13"/>
      <c r="GM78" s="14"/>
      <c r="GO78" s="65"/>
      <c r="GP78" s="13"/>
      <c r="GQ78" s="14"/>
      <c r="GS78" s="65"/>
      <c r="GT78" s="13"/>
      <c r="GU78" s="14"/>
      <c r="GW78" s="65"/>
      <c r="GX78" s="13"/>
      <c r="GY78" s="14"/>
      <c r="HA78" s="65"/>
      <c r="HB78" s="13"/>
      <c r="HC78" s="14"/>
      <c r="HE78" s="65"/>
      <c r="HF78" s="13"/>
      <c r="HG78" s="14"/>
      <c r="HI78" s="65"/>
      <c r="HJ78" s="13"/>
      <c r="HK78" s="14"/>
      <c r="HM78" s="65"/>
      <c r="HN78" s="13"/>
      <c r="HO78" s="14"/>
      <c r="HQ78" s="65"/>
      <c r="HR78" s="13"/>
      <c r="HS78" s="14"/>
      <c r="HU78" s="65"/>
      <c r="HV78" s="13"/>
      <c r="HW78" s="14"/>
      <c r="HY78" s="65"/>
      <c r="HZ78" s="13"/>
      <c r="IA78" s="14"/>
      <c r="IC78" s="65"/>
      <c r="ID78" s="13"/>
      <c r="IE78" s="14"/>
      <c r="IG78" s="65"/>
      <c r="IH78" s="13"/>
      <c r="II78" s="14"/>
      <c r="IK78" s="65"/>
      <c r="IL78" s="13"/>
      <c r="IM78" s="14"/>
      <c r="IO78" s="65"/>
      <c r="IP78" s="13"/>
      <c r="IQ78" s="14"/>
      <c r="IS78" s="65"/>
      <c r="IT78" s="13"/>
      <c r="IU78" s="14"/>
      <c r="IW78" s="65"/>
      <c r="IX78" s="13"/>
      <c r="IY78" s="14"/>
      <c r="JA78" s="65"/>
      <c r="JB78" s="13"/>
      <c r="JC78" s="14"/>
      <c r="JE78" s="65"/>
      <c r="JF78" s="13"/>
      <c r="JG78" s="14"/>
      <c r="JI78" s="65"/>
      <c r="JJ78" s="13"/>
      <c r="JK78" s="14"/>
      <c r="JM78" s="65"/>
      <c r="JN78" s="13"/>
      <c r="JO78" s="14"/>
      <c r="JQ78" s="65"/>
      <c r="JR78" s="13"/>
      <c r="JS78" s="14"/>
      <c r="JU78" s="65"/>
      <c r="JV78" s="13"/>
      <c r="JW78" s="14"/>
      <c r="JY78" s="65"/>
      <c r="JZ78" s="13"/>
      <c r="KA78" s="14"/>
      <c r="KC78" s="65"/>
      <c r="KD78" s="13"/>
      <c r="KE78" s="14"/>
      <c r="KG78" s="65"/>
      <c r="KH78" s="13"/>
      <c r="KI78" s="14"/>
      <c r="KK78" s="65"/>
      <c r="KL78" s="13"/>
      <c r="KM78" s="14"/>
      <c r="KO78" s="65"/>
      <c r="KP78" s="13"/>
      <c r="KQ78" s="14"/>
      <c r="KS78" s="65"/>
      <c r="KT78" s="13"/>
      <c r="KU78" s="14"/>
      <c r="KW78" s="65"/>
      <c r="KX78" s="13"/>
      <c r="KY78" s="14"/>
      <c r="LA78" s="65">
        <f t="shared" si="190"/>
        <v>9</v>
      </c>
      <c r="LB78" s="13">
        <f t="shared" si="180"/>
        <v>2640622.2349697705</v>
      </c>
      <c r="LC78" s="14">
        <v>43255</v>
      </c>
      <c r="LE78" s="65"/>
      <c r="LF78" s="13"/>
      <c r="LG78" s="14"/>
      <c r="LI78" s="65"/>
      <c r="LJ78" s="13"/>
      <c r="LK78" s="14"/>
      <c r="LM78" s="65"/>
      <c r="LN78" s="13"/>
      <c r="LO78" s="14"/>
      <c r="LQ78" s="65"/>
      <c r="LR78" s="13"/>
      <c r="LS78" s="14"/>
      <c r="LU78" s="65"/>
      <c r="LV78" s="13"/>
      <c r="LW78" s="14"/>
      <c r="LY78" s="65"/>
      <c r="LZ78" s="13"/>
      <c r="MA78" s="14"/>
      <c r="MC78" s="65"/>
      <c r="MD78" s="13"/>
      <c r="ME78" s="14"/>
      <c r="MG78" s="65"/>
      <c r="MH78" s="13"/>
      <c r="MI78" s="14"/>
      <c r="MK78" s="65"/>
      <c r="ML78" s="13"/>
      <c r="MM78" s="14"/>
      <c r="MO78" s="65"/>
      <c r="MP78" s="13"/>
      <c r="MQ78" s="14"/>
      <c r="MS78" s="65"/>
      <c r="MT78" s="13"/>
      <c r="MU78" s="14"/>
    </row>
    <row r="79" spans="1:359" x14ac:dyDescent="0.25">
      <c r="A79" s="15">
        <f t="shared" si="171"/>
        <v>733365.7208027211</v>
      </c>
      <c r="B79" s="20">
        <v>42773</v>
      </c>
      <c r="D79" s="12">
        <v>97</v>
      </c>
      <c r="E79" s="12">
        <v>1141521.7534625893</v>
      </c>
      <c r="F79" s="14">
        <v>42503</v>
      </c>
      <c r="I79" s="12"/>
      <c r="J79" s="13"/>
      <c r="K79" s="14"/>
      <c r="N79" s="12">
        <f t="shared" si="182"/>
        <v>27</v>
      </c>
      <c r="O79" s="13">
        <f t="shared" si="172"/>
        <v>733365.7208027211</v>
      </c>
      <c r="P79" s="14">
        <v>42773</v>
      </c>
      <c r="T79" s="15"/>
      <c r="U79" s="20"/>
      <c r="W79" s="12"/>
      <c r="X79" s="12"/>
      <c r="Y79" s="14"/>
      <c r="AB79" s="12"/>
      <c r="AC79" s="13"/>
      <c r="AD79" s="14"/>
      <c r="AG79" s="12"/>
      <c r="AH79" s="13"/>
      <c r="AI79" s="14"/>
      <c r="AK79" s="12"/>
      <c r="AL79" s="13"/>
      <c r="AM79" s="14"/>
      <c r="CK79" s="65"/>
      <c r="CL79" s="13"/>
      <c r="CO79" s="65"/>
      <c r="CP79" s="13"/>
      <c r="CS79" s="65"/>
      <c r="CT79" s="13"/>
      <c r="CW79" s="65"/>
      <c r="CX79" s="13"/>
      <c r="DA79" s="65"/>
      <c r="DB79" s="13"/>
      <c r="DE79" s="65"/>
      <c r="DF79" s="13"/>
      <c r="DI79" s="65"/>
      <c r="DJ79" s="13"/>
      <c r="DM79" s="65"/>
      <c r="DN79" s="13"/>
      <c r="DQ79" s="65"/>
      <c r="DR79" s="13"/>
      <c r="DU79" s="65">
        <f t="shared" si="184"/>
        <v>21</v>
      </c>
      <c r="DV79" s="13">
        <f t="shared" si="174"/>
        <v>2336208.3038340551</v>
      </c>
      <c r="DW79" s="14">
        <v>43081</v>
      </c>
      <c r="DY79" s="65">
        <f t="shared" si="185"/>
        <v>32</v>
      </c>
      <c r="DZ79" s="13">
        <f t="shared" si="175"/>
        <v>794146.58417683374</v>
      </c>
      <c r="EA79" s="14">
        <v>43084</v>
      </c>
      <c r="EC79" s="65"/>
      <c r="ED79" s="13"/>
      <c r="EE79" s="14"/>
      <c r="EG79" s="65"/>
      <c r="EH79" s="13"/>
      <c r="EI79" s="14"/>
      <c r="EK79" s="65"/>
      <c r="EL79" s="13"/>
      <c r="EM79" s="14"/>
      <c r="EO79" s="65">
        <f t="shared" si="186"/>
        <v>6</v>
      </c>
      <c r="EP79" s="13">
        <f t="shared" si="176"/>
        <v>1283245.3712500487</v>
      </c>
      <c r="EQ79" s="14">
        <v>43096</v>
      </c>
      <c r="ES79" s="65"/>
      <c r="ET79" s="13"/>
      <c r="EU79" s="14"/>
      <c r="EW79" s="65"/>
      <c r="EX79" s="13"/>
      <c r="EY79" s="14"/>
      <c r="FA79" s="65">
        <f t="shared" si="187"/>
        <v>5</v>
      </c>
      <c r="FB79" s="13">
        <f t="shared" si="177"/>
        <v>1262827.229642004</v>
      </c>
      <c r="FC79" s="14">
        <v>43103</v>
      </c>
      <c r="FE79" s="65">
        <f t="shared" si="188"/>
        <v>0</v>
      </c>
      <c r="FF79" s="13">
        <f>($FG$2/(1+$FG$4*FE79/360))*0</f>
        <v>0</v>
      </c>
      <c r="FG79" s="14">
        <v>43103</v>
      </c>
      <c r="FI79" s="65"/>
      <c r="FJ79" s="13"/>
      <c r="FK79" s="14"/>
      <c r="FM79" s="65"/>
      <c r="FN79" s="13"/>
      <c r="FO79" s="14"/>
      <c r="FQ79" s="65"/>
      <c r="FR79" s="13"/>
      <c r="FS79" s="14"/>
      <c r="FU79" s="65"/>
      <c r="FV79" s="13"/>
      <c r="FW79" s="14"/>
      <c r="FY79" s="65"/>
      <c r="FZ79" s="13"/>
      <c r="GA79" s="14"/>
      <c r="GC79" s="65"/>
      <c r="GD79" s="13"/>
      <c r="GE79" s="14"/>
      <c r="GG79" s="65"/>
      <c r="GH79" s="13"/>
      <c r="GI79" s="14"/>
      <c r="GK79" s="65"/>
      <c r="GL79" s="13"/>
      <c r="GM79" s="14"/>
      <c r="GO79" s="65"/>
      <c r="GP79" s="13"/>
      <c r="GQ79" s="14"/>
      <c r="GS79" s="65"/>
      <c r="GT79" s="13"/>
      <c r="GU79" s="14"/>
      <c r="GW79" s="65"/>
      <c r="GX79" s="13"/>
      <c r="GY79" s="14"/>
      <c r="HA79" s="65"/>
      <c r="HB79" s="13"/>
      <c r="HC79" s="14"/>
      <c r="HE79" s="65"/>
      <c r="HF79" s="13"/>
      <c r="HG79" s="14"/>
      <c r="HI79" s="65"/>
      <c r="HJ79" s="13"/>
      <c r="HK79" s="14"/>
      <c r="HM79" s="65"/>
      <c r="HN79" s="13"/>
      <c r="HO79" s="14"/>
      <c r="HQ79" s="65"/>
      <c r="HR79" s="13"/>
      <c r="HS79" s="14"/>
      <c r="HU79" s="65"/>
      <c r="HV79" s="13"/>
      <c r="HW79" s="14"/>
      <c r="HY79" s="65"/>
      <c r="HZ79" s="13"/>
      <c r="IA79" s="14"/>
      <c r="IC79" s="65"/>
      <c r="ID79" s="13"/>
      <c r="IE79" s="14"/>
      <c r="IG79" s="65"/>
      <c r="IH79" s="13"/>
      <c r="II79" s="14"/>
      <c r="IK79" s="65"/>
      <c r="IL79" s="13"/>
      <c r="IM79" s="14"/>
      <c r="IO79" s="65"/>
      <c r="IP79" s="13"/>
      <c r="IQ79" s="14"/>
      <c r="IS79" s="65"/>
      <c r="IT79" s="13"/>
      <c r="IU79" s="14"/>
      <c r="IW79" s="65"/>
      <c r="IX79" s="13"/>
      <c r="IY79" s="14"/>
      <c r="JA79" s="65"/>
      <c r="JB79" s="13"/>
      <c r="JC79" s="14"/>
      <c r="JE79" s="65"/>
      <c r="JF79" s="13"/>
      <c r="JG79" s="14"/>
      <c r="JI79" s="65"/>
      <c r="JJ79" s="13"/>
      <c r="JK79" s="14"/>
      <c r="JM79" s="65"/>
      <c r="JN79" s="13"/>
      <c r="JO79" s="14"/>
      <c r="JQ79" s="65"/>
      <c r="JR79" s="13"/>
      <c r="JS79" s="14"/>
      <c r="JU79" s="65"/>
      <c r="JV79" s="13"/>
      <c r="JW79" s="14"/>
      <c r="JY79" s="65"/>
      <c r="JZ79" s="13"/>
      <c r="KA79" s="14"/>
      <c r="KC79" s="65"/>
      <c r="KD79" s="13"/>
      <c r="KE79" s="14"/>
      <c r="KG79" s="65"/>
      <c r="KH79" s="13"/>
      <c r="KI79" s="14"/>
      <c r="KK79" s="65"/>
      <c r="KL79" s="13"/>
      <c r="KM79" s="14"/>
      <c r="KO79" s="65"/>
      <c r="KP79" s="13"/>
      <c r="KQ79" s="14"/>
      <c r="KS79" s="65"/>
      <c r="KT79" s="13"/>
      <c r="KU79" s="14"/>
      <c r="KW79" s="65"/>
      <c r="KX79" s="13"/>
      <c r="KY79" s="14"/>
      <c r="LA79" s="65">
        <f t="shared" si="190"/>
        <v>8</v>
      </c>
      <c r="LB79" s="13">
        <f t="shared" si="180"/>
        <v>2640824.5585826356</v>
      </c>
      <c r="LC79" s="14">
        <v>43256</v>
      </c>
      <c r="LE79" s="65"/>
      <c r="LF79" s="13"/>
      <c r="LG79" s="14"/>
      <c r="LI79" s="65"/>
      <c r="LJ79" s="13"/>
      <c r="LK79" s="14"/>
      <c r="LM79" s="65"/>
      <c r="LN79" s="13"/>
      <c r="LO79" s="14"/>
      <c r="LQ79" s="65"/>
      <c r="LR79" s="13"/>
      <c r="LS79" s="14"/>
      <c r="LU79" s="65"/>
      <c r="LV79" s="13"/>
      <c r="LW79" s="14"/>
      <c r="LY79" s="65"/>
      <c r="LZ79" s="13"/>
      <c r="MA79" s="14"/>
      <c r="MC79" s="65"/>
      <c r="MD79" s="13"/>
      <c r="ME79" s="14"/>
      <c r="MG79" s="65"/>
      <c r="MH79" s="13"/>
      <c r="MI79" s="14"/>
      <c r="MK79" s="65"/>
      <c r="ML79" s="13"/>
      <c r="MM79" s="14"/>
      <c r="MO79" s="65"/>
      <c r="MP79" s="13"/>
      <c r="MQ79" s="14"/>
      <c r="MS79" s="65"/>
      <c r="MT79" s="13"/>
      <c r="MU79" s="14"/>
    </row>
    <row r="80" spans="1:359" x14ac:dyDescent="0.25">
      <c r="A80" s="15">
        <f t="shared" si="171"/>
        <v>733395.12602387089</v>
      </c>
      <c r="B80" s="20">
        <v>42774</v>
      </c>
      <c r="D80" s="12">
        <v>96</v>
      </c>
      <c r="E80" s="12">
        <v>1141548.938658695</v>
      </c>
      <c r="F80" s="14">
        <v>42504</v>
      </c>
      <c r="I80" s="12"/>
      <c r="J80" s="13"/>
      <c r="K80" s="14"/>
      <c r="N80" s="12">
        <f t="shared" si="182"/>
        <v>26</v>
      </c>
      <c r="O80" s="13">
        <f t="shared" si="172"/>
        <v>733395.12602387089</v>
      </c>
      <c r="P80" s="14">
        <v>42774</v>
      </c>
      <c r="T80" s="15"/>
      <c r="U80" s="20"/>
      <c r="W80" s="12"/>
      <c r="X80" s="12"/>
      <c r="Y80" s="14"/>
      <c r="AB80" s="12"/>
      <c r="AC80" s="13"/>
      <c r="AD80" s="14"/>
      <c r="AG80" s="12"/>
      <c r="AH80" s="13"/>
      <c r="AI80" s="14"/>
      <c r="AK80" s="12"/>
      <c r="AL80" s="13"/>
      <c r="AM80" s="14"/>
      <c r="CK80" s="65"/>
      <c r="CL80" s="13"/>
      <c r="CO80" s="65"/>
      <c r="CP80" s="13"/>
      <c r="CS80" s="65"/>
      <c r="CT80" s="13"/>
      <c r="CW80" s="65"/>
      <c r="CX80" s="13"/>
      <c r="DA80" s="65"/>
      <c r="DB80" s="13"/>
      <c r="DE80" s="65"/>
      <c r="DF80" s="13"/>
      <c r="DI80" s="65"/>
      <c r="DJ80" s="13"/>
      <c r="DM80" s="65"/>
      <c r="DN80" s="13"/>
      <c r="DQ80" s="65"/>
      <c r="DR80" s="13"/>
      <c r="DU80" s="65">
        <f t="shared" si="184"/>
        <v>20</v>
      </c>
      <c r="DV80" s="13">
        <f t="shared" si="174"/>
        <v>2336323.7105102278</v>
      </c>
      <c r="DW80" s="14">
        <v>43082</v>
      </c>
      <c r="DY80" s="65">
        <f t="shared" si="185"/>
        <v>31</v>
      </c>
      <c r="DZ80" s="13">
        <f t="shared" si="175"/>
        <v>794188.23756494175</v>
      </c>
      <c r="EA80" s="14">
        <v>43085</v>
      </c>
      <c r="EC80" s="65"/>
      <c r="ED80" s="13"/>
      <c r="EE80" s="14"/>
      <c r="EG80" s="65"/>
      <c r="EH80" s="13"/>
      <c r="EI80" s="14"/>
      <c r="EK80" s="65"/>
      <c r="EL80" s="13"/>
      <c r="EM80" s="14"/>
      <c r="EO80" s="65">
        <f t="shared" si="186"/>
        <v>5</v>
      </c>
      <c r="EP80" s="13">
        <f t="shared" si="176"/>
        <v>1283320.6288358858</v>
      </c>
      <c r="EQ80" s="14">
        <v>43097</v>
      </c>
      <c r="ES80" s="65"/>
      <c r="ET80" s="13"/>
      <c r="EU80" s="14"/>
      <c r="EW80" s="65"/>
      <c r="EX80" s="13"/>
      <c r="EY80" s="14"/>
      <c r="FA80" s="65">
        <f t="shared" si="187"/>
        <v>4</v>
      </c>
      <c r="FB80" s="13">
        <f t="shared" si="177"/>
        <v>1262902.6525844701</v>
      </c>
      <c r="FC80" s="14">
        <v>43104</v>
      </c>
      <c r="FE80" s="65"/>
      <c r="FF80" s="13"/>
      <c r="FG80" s="14"/>
      <c r="FI80" s="65"/>
      <c r="FJ80" s="13"/>
      <c r="FK80" s="14"/>
      <c r="FM80" s="65"/>
      <c r="FN80" s="13"/>
      <c r="FO80" s="14"/>
      <c r="FQ80" s="65"/>
      <c r="FR80" s="13"/>
      <c r="FS80" s="14"/>
      <c r="FU80" s="65"/>
      <c r="FV80" s="13"/>
      <c r="FW80" s="14"/>
      <c r="FY80" s="65"/>
      <c r="FZ80" s="13"/>
      <c r="GA80" s="14"/>
      <c r="GC80" s="65"/>
      <c r="GD80" s="13"/>
      <c r="GE80" s="14"/>
      <c r="GG80" s="65"/>
      <c r="GH80" s="13"/>
      <c r="GI80" s="14"/>
      <c r="GK80" s="65"/>
      <c r="GL80" s="13"/>
      <c r="GM80" s="14"/>
      <c r="GO80" s="65"/>
      <c r="GP80" s="13"/>
      <c r="GQ80" s="14"/>
      <c r="GS80" s="65"/>
      <c r="GT80" s="13"/>
      <c r="GU80" s="14"/>
      <c r="GW80" s="65"/>
      <c r="GX80" s="13"/>
      <c r="GY80" s="14"/>
      <c r="HA80" s="65"/>
      <c r="HB80" s="13"/>
      <c r="HC80" s="14"/>
      <c r="HE80" s="65"/>
      <c r="HF80" s="13"/>
      <c r="HG80" s="14"/>
      <c r="HI80" s="65"/>
      <c r="HJ80" s="13"/>
      <c r="HK80" s="14"/>
      <c r="HM80" s="65"/>
      <c r="HN80" s="13"/>
      <c r="HO80" s="14"/>
      <c r="HQ80" s="65"/>
      <c r="HR80" s="13"/>
      <c r="HS80" s="14"/>
      <c r="HU80" s="65"/>
      <c r="HV80" s="13"/>
      <c r="HW80" s="14"/>
      <c r="HY80" s="65"/>
      <c r="HZ80" s="13"/>
      <c r="IA80" s="14"/>
      <c r="IC80" s="65"/>
      <c r="ID80" s="13"/>
      <c r="IE80" s="14"/>
      <c r="IG80" s="65"/>
      <c r="IH80" s="13"/>
      <c r="II80" s="14"/>
      <c r="IK80" s="65"/>
      <c r="IL80" s="13"/>
      <c r="IM80" s="14"/>
      <c r="IO80" s="65"/>
      <c r="IP80" s="13"/>
      <c r="IQ80" s="14"/>
      <c r="IS80" s="65"/>
      <c r="IT80" s="13"/>
      <c r="IU80" s="14"/>
      <c r="IW80" s="65"/>
      <c r="IX80" s="13"/>
      <c r="IY80" s="14"/>
      <c r="JA80" s="65"/>
      <c r="JB80" s="13"/>
      <c r="JC80" s="14"/>
      <c r="JE80" s="65"/>
      <c r="JF80" s="13"/>
      <c r="JG80" s="14"/>
      <c r="JI80" s="65"/>
      <c r="JJ80" s="13"/>
      <c r="JK80" s="14"/>
      <c r="JM80" s="65"/>
      <c r="JN80" s="13"/>
      <c r="JO80" s="14"/>
      <c r="JQ80" s="65"/>
      <c r="JR80" s="13"/>
      <c r="JS80" s="14"/>
      <c r="JU80" s="65"/>
      <c r="JV80" s="13"/>
      <c r="JW80" s="14"/>
      <c r="JY80" s="65"/>
      <c r="JZ80" s="13"/>
      <c r="KA80" s="14"/>
      <c r="KC80" s="65"/>
      <c r="KD80" s="13"/>
      <c r="KE80" s="14"/>
      <c r="KG80" s="65"/>
      <c r="KH80" s="13"/>
      <c r="KI80" s="14"/>
      <c r="KK80" s="65"/>
      <c r="KL80" s="13"/>
      <c r="KM80" s="14"/>
      <c r="KO80" s="65"/>
      <c r="KP80" s="13"/>
      <c r="KQ80" s="14"/>
      <c r="KS80" s="65"/>
      <c r="KT80" s="13"/>
      <c r="KU80" s="14"/>
      <c r="KW80" s="65"/>
      <c r="KX80" s="13"/>
      <c r="KY80" s="14"/>
      <c r="LA80" s="65">
        <f t="shared" si="190"/>
        <v>7</v>
      </c>
      <c r="LB80" s="13">
        <f t="shared" si="180"/>
        <v>2641026.913201815</v>
      </c>
      <c r="LC80" s="14">
        <v>43257</v>
      </c>
      <c r="LE80" s="65"/>
      <c r="LF80" s="13"/>
      <c r="LG80" s="14"/>
      <c r="LI80" s="65"/>
      <c r="LJ80" s="13"/>
      <c r="LK80" s="14"/>
      <c r="LM80" s="65"/>
      <c r="LN80" s="13"/>
      <c r="LO80" s="14"/>
      <c r="LQ80" s="65"/>
      <c r="LR80" s="13"/>
      <c r="LS80" s="14"/>
      <c r="LU80" s="65"/>
      <c r="LV80" s="13"/>
      <c r="LW80" s="14"/>
      <c r="LY80" s="65"/>
      <c r="LZ80" s="13"/>
      <c r="MA80" s="14"/>
      <c r="MC80" s="65"/>
      <c r="MD80" s="13"/>
      <c r="ME80" s="14"/>
      <c r="MG80" s="65"/>
      <c r="MH80" s="13"/>
      <c r="MI80" s="14"/>
      <c r="MK80" s="65"/>
      <c r="ML80" s="13"/>
      <c r="MM80" s="14"/>
      <c r="MO80" s="65"/>
      <c r="MP80" s="13"/>
      <c r="MQ80" s="14"/>
      <c r="MS80" s="65"/>
      <c r="MT80" s="13"/>
      <c r="MU80" s="14"/>
    </row>
    <row r="81" spans="1:359" x14ac:dyDescent="0.25">
      <c r="A81" s="15">
        <f t="shared" si="171"/>
        <v>733424.53360319382</v>
      </c>
      <c r="B81" s="20">
        <v>42775</v>
      </c>
      <c r="D81" s="12">
        <v>95</v>
      </c>
      <c r="E81" s="12">
        <v>1141576.1251496556</v>
      </c>
      <c r="F81" s="14">
        <v>42505</v>
      </c>
      <c r="I81" s="12"/>
      <c r="J81" s="13"/>
      <c r="K81" s="14"/>
      <c r="N81" s="12">
        <f t="shared" si="182"/>
        <v>25</v>
      </c>
      <c r="O81" s="13">
        <f t="shared" si="172"/>
        <v>733424.53360319382</v>
      </c>
      <c r="P81" s="14">
        <v>42775</v>
      </c>
      <c r="T81" s="15"/>
      <c r="U81" s="20"/>
      <c r="W81" s="12"/>
      <c r="X81" s="12"/>
      <c r="Y81" s="14"/>
      <c r="AB81" s="12"/>
      <c r="AC81" s="13"/>
      <c r="AD81" s="14"/>
      <c r="AG81" s="12"/>
      <c r="AH81" s="13"/>
      <c r="AI81" s="14"/>
      <c r="AK81" s="12"/>
      <c r="AL81" s="13"/>
      <c r="AM81" s="14"/>
      <c r="CK81" s="65"/>
      <c r="CL81" s="13"/>
      <c r="CO81" s="65"/>
      <c r="CP81" s="13"/>
      <c r="CS81" s="65"/>
      <c r="CT81" s="13"/>
      <c r="CW81" s="65"/>
      <c r="CX81" s="13"/>
      <c r="DA81" s="65"/>
      <c r="DB81" s="13"/>
      <c r="DE81" s="65"/>
      <c r="DF81" s="13"/>
      <c r="DI81" s="65"/>
      <c r="DJ81" s="13"/>
      <c r="DM81" s="65"/>
      <c r="DN81" s="13"/>
      <c r="DQ81" s="65"/>
      <c r="DR81" s="13"/>
      <c r="DU81" s="65">
        <f t="shared" si="184"/>
        <v>19</v>
      </c>
      <c r="DV81" s="13">
        <f t="shared" si="174"/>
        <v>2336439.1285889437</v>
      </c>
      <c r="DW81" s="14">
        <v>43083</v>
      </c>
      <c r="DY81" s="65">
        <f t="shared" si="185"/>
        <v>30</v>
      </c>
      <c r="DZ81" s="13">
        <f t="shared" si="175"/>
        <v>794229.89532276103</v>
      </c>
      <c r="EA81" s="14">
        <v>43086</v>
      </c>
      <c r="EC81" s="65"/>
      <c r="ED81" s="13"/>
      <c r="EE81" s="14"/>
      <c r="EG81" s="65"/>
      <c r="EH81" s="13"/>
      <c r="EI81" s="14"/>
      <c r="EK81" s="65"/>
      <c r="EL81" s="13"/>
      <c r="EM81" s="14"/>
      <c r="EO81" s="65">
        <f t="shared" si="186"/>
        <v>4</v>
      </c>
      <c r="EP81" s="13">
        <f t="shared" si="176"/>
        <v>1283395.8952493973</v>
      </c>
      <c r="EQ81" s="14">
        <v>43098</v>
      </c>
      <c r="ES81" s="65"/>
      <c r="ET81" s="13"/>
      <c r="EU81" s="14"/>
      <c r="EW81" s="65"/>
      <c r="EX81" s="13"/>
      <c r="EY81" s="14"/>
      <c r="FA81" s="65">
        <f t="shared" si="187"/>
        <v>3</v>
      </c>
      <c r="FB81" s="13">
        <f t="shared" si="177"/>
        <v>1262978.0845368146</v>
      </c>
      <c r="FC81" s="14">
        <v>43105</v>
      </c>
      <c r="FE81" s="65"/>
      <c r="FF81" s="13"/>
      <c r="FG81" s="14"/>
      <c r="FI81" s="65"/>
      <c r="FJ81" s="13"/>
      <c r="FK81" s="14"/>
      <c r="FM81" s="65"/>
      <c r="FN81" s="13"/>
      <c r="FO81" s="14"/>
      <c r="FQ81" s="65"/>
      <c r="FR81" s="13"/>
      <c r="FS81" s="14"/>
      <c r="FU81" s="65"/>
      <c r="FV81" s="13"/>
      <c r="FW81" s="14"/>
      <c r="FY81" s="65"/>
      <c r="FZ81" s="13"/>
      <c r="GA81" s="14"/>
      <c r="GC81" s="65"/>
      <c r="GD81" s="13"/>
      <c r="GE81" s="14"/>
      <c r="GG81" s="65"/>
      <c r="GH81" s="13"/>
      <c r="GI81" s="14"/>
      <c r="GK81" s="65"/>
      <c r="GL81" s="13"/>
      <c r="GM81" s="14"/>
      <c r="GO81" s="65"/>
      <c r="GP81" s="13"/>
      <c r="GQ81" s="14"/>
      <c r="GS81" s="65"/>
      <c r="GT81" s="13"/>
      <c r="GU81" s="14"/>
      <c r="GW81" s="65"/>
      <c r="GX81" s="13"/>
      <c r="GY81" s="14"/>
      <c r="HA81" s="65"/>
      <c r="HB81" s="13"/>
      <c r="HC81" s="14"/>
      <c r="HE81" s="65"/>
      <c r="HF81" s="13"/>
      <c r="HG81" s="14"/>
      <c r="HI81" s="65"/>
      <c r="HJ81" s="13"/>
      <c r="HK81" s="14"/>
      <c r="HM81" s="65"/>
      <c r="HN81" s="13"/>
      <c r="HO81" s="14"/>
      <c r="HQ81" s="65"/>
      <c r="HR81" s="13"/>
      <c r="HS81" s="14"/>
      <c r="HU81" s="65"/>
      <c r="HV81" s="13"/>
      <c r="HW81" s="14"/>
      <c r="HY81" s="65"/>
      <c r="HZ81" s="13"/>
      <c r="IA81" s="14"/>
      <c r="IC81" s="65"/>
      <c r="ID81" s="13"/>
      <c r="IE81" s="14"/>
      <c r="IG81" s="65"/>
      <c r="IH81" s="13"/>
      <c r="II81" s="14"/>
      <c r="IK81" s="65"/>
      <c r="IL81" s="13"/>
      <c r="IM81" s="14"/>
      <c r="IO81" s="65"/>
      <c r="IP81" s="13"/>
      <c r="IQ81" s="14"/>
      <c r="IS81" s="65"/>
      <c r="IT81" s="13"/>
      <c r="IU81" s="14"/>
      <c r="IW81" s="65"/>
      <c r="IX81" s="13"/>
      <c r="IY81" s="14"/>
      <c r="JA81" s="65"/>
      <c r="JB81" s="13"/>
      <c r="JC81" s="14"/>
      <c r="JE81" s="65"/>
      <c r="JF81" s="13"/>
      <c r="JG81" s="14"/>
      <c r="JI81" s="65"/>
      <c r="JJ81" s="13"/>
      <c r="JK81" s="14"/>
      <c r="JM81" s="65"/>
      <c r="JN81" s="13"/>
      <c r="JO81" s="14"/>
      <c r="JQ81" s="65"/>
      <c r="JR81" s="13"/>
      <c r="JS81" s="14"/>
      <c r="JU81" s="65"/>
      <c r="JV81" s="13"/>
      <c r="JW81" s="14"/>
      <c r="JY81" s="65"/>
      <c r="JZ81" s="13"/>
      <c r="KA81" s="14"/>
      <c r="KC81" s="65"/>
      <c r="KD81" s="13"/>
      <c r="KE81" s="14"/>
      <c r="KG81" s="65"/>
      <c r="KH81" s="13"/>
      <c r="KI81" s="14"/>
      <c r="KK81" s="65"/>
      <c r="KL81" s="13"/>
      <c r="KM81" s="14"/>
      <c r="KO81" s="65"/>
      <c r="KP81" s="13"/>
      <c r="KQ81" s="14"/>
      <c r="KS81" s="65"/>
      <c r="KT81" s="13"/>
      <c r="KU81" s="14"/>
      <c r="KW81" s="65"/>
      <c r="KX81" s="13"/>
      <c r="KY81" s="14"/>
      <c r="LA81" s="65">
        <f t="shared" si="190"/>
        <v>6</v>
      </c>
      <c r="LB81" s="13">
        <f t="shared" si="180"/>
        <v>2641229.2988344361</v>
      </c>
      <c r="LC81" s="14">
        <v>43258</v>
      </c>
      <c r="LE81" s="65"/>
      <c r="LF81" s="13"/>
      <c r="LG81" s="14"/>
      <c r="LI81" s="65"/>
      <c r="LJ81" s="13"/>
      <c r="LK81" s="14"/>
      <c r="LM81" s="65"/>
      <c r="LN81" s="13"/>
      <c r="LO81" s="14"/>
      <c r="LQ81" s="65"/>
      <c r="LR81" s="13"/>
      <c r="LS81" s="14"/>
      <c r="LU81" s="65"/>
      <c r="LV81" s="13"/>
      <c r="LW81" s="14"/>
      <c r="LY81" s="65"/>
      <c r="LZ81" s="13"/>
      <c r="MA81" s="14"/>
      <c r="MC81" s="65"/>
      <c r="MD81" s="13"/>
      <c r="ME81" s="14"/>
      <c r="MG81" s="65"/>
      <c r="MH81" s="13"/>
      <c r="MI81" s="14"/>
      <c r="MK81" s="65"/>
      <c r="ML81" s="13"/>
      <c r="MM81" s="14"/>
      <c r="MO81" s="65"/>
      <c r="MP81" s="13"/>
      <c r="MQ81" s="14"/>
      <c r="MS81" s="65"/>
      <c r="MT81" s="13"/>
      <c r="MU81" s="14"/>
    </row>
    <row r="82" spans="1:359" x14ac:dyDescent="0.25">
      <c r="A82" s="15">
        <f t="shared" si="171"/>
        <v>733453.94354097371</v>
      </c>
      <c r="B82" s="20">
        <v>42776</v>
      </c>
      <c r="D82" s="12">
        <v>94</v>
      </c>
      <c r="E82" s="12">
        <v>1141603.3129355633</v>
      </c>
      <c r="F82" s="14">
        <v>42506</v>
      </c>
      <c r="I82" s="12"/>
      <c r="J82" s="13"/>
      <c r="K82" s="14"/>
      <c r="N82" s="12">
        <f t="shared" si="182"/>
        <v>24</v>
      </c>
      <c r="O82" s="13">
        <f t="shared" si="172"/>
        <v>733453.94354097371</v>
      </c>
      <c r="P82" s="14">
        <v>42776</v>
      </c>
      <c r="T82" s="15"/>
      <c r="U82" s="20"/>
      <c r="W82" s="12"/>
      <c r="X82" s="12"/>
      <c r="Y82" s="14"/>
      <c r="AB82" s="12"/>
      <c r="AC82" s="13"/>
      <c r="AD82" s="14"/>
      <c r="AG82" s="12"/>
      <c r="AH82" s="13"/>
      <c r="AI82" s="14"/>
      <c r="AK82" s="12"/>
      <c r="AL82" s="13"/>
      <c r="AM82" s="14"/>
      <c r="CK82" s="65"/>
      <c r="CL82" s="13"/>
      <c r="CO82" s="65"/>
      <c r="CP82" s="13"/>
      <c r="CS82" s="65"/>
      <c r="CT82" s="13"/>
      <c r="CW82" s="65"/>
      <c r="CX82" s="13"/>
      <c r="DA82" s="65"/>
      <c r="DB82" s="13"/>
      <c r="DE82" s="65"/>
      <c r="DF82" s="13"/>
      <c r="DI82" s="65"/>
      <c r="DJ82" s="13"/>
      <c r="DM82" s="65"/>
      <c r="DN82" s="13"/>
      <c r="DQ82" s="65"/>
      <c r="DR82" s="13"/>
      <c r="DU82" s="65">
        <f t="shared" si="184"/>
        <v>18</v>
      </c>
      <c r="DV82" s="13">
        <f t="shared" si="174"/>
        <v>2336554.5580718941</v>
      </c>
      <c r="DW82" s="14">
        <v>43084</v>
      </c>
      <c r="DY82" s="65">
        <f t="shared" si="185"/>
        <v>29</v>
      </c>
      <c r="DZ82" s="13">
        <f t="shared" si="175"/>
        <v>794271.5574509796</v>
      </c>
      <c r="EA82" s="14">
        <v>43087</v>
      </c>
      <c r="EC82" s="65"/>
      <c r="ED82" s="13"/>
      <c r="EE82" s="14"/>
      <c r="EG82" s="65"/>
      <c r="EH82" s="13"/>
      <c r="EI82" s="14"/>
      <c r="EK82" s="65"/>
      <c r="EL82" s="13"/>
      <c r="EM82" s="14"/>
      <c r="EO82" s="65">
        <f t="shared" si="186"/>
        <v>3</v>
      </c>
      <c r="EP82" s="13">
        <f t="shared" si="176"/>
        <v>1283471.1704921369</v>
      </c>
      <c r="EQ82" s="14">
        <v>43099</v>
      </c>
      <c r="ES82" s="65"/>
      <c r="ET82" s="13"/>
      <c r="EU82" s="14"/>
      <c r="EW82" s="65"/>
      <c r="EX82" s="13"/>
      <c r="EY82" s="14"/>
      <c r="FA82" s="65">
        <f t="shared" si="187"/>
        <v>2</v>
      </c>
      <c r="FB82" s="13">
        <f t="shared" si="177"/>
        <v>1263053.5255006526</v>
      </c>
      <c r="FC82" s="14">
        <v>43106</v>
      </c>
      <c r="FE82" s="65"/>
      <c r="FF82" s="13"/>
      <c r="FG82" s="14"/>
      <c r="FI82" s="65"/>
      <c r="FJ82" s="13"/>
      <c r="FK82" s="14"/>
      <c r="FM82" s="65"/>
      <c r="FN82" s="13"/>
      <c r="FO82" s="14"/>
      <c r="FQ82" s="65"/>
      <c r="FR82" s="13"/>
      <c r="FS82" s="14"/>
      <c r="FU82" s="65"/>
      <c r="FV82" s="13"/>
      <c r="FW82" s="14"/>
      <c r="FY82" s="65"/>
      <c r="FZ82" s="13"/>
      <c r="GA82" s="14"/>
      <c r="GC82" s="65"/>
      <c r="GD82" s="13"/>
      <c r="GE82" s="14"/>
      <c r="GG82" s="65"/>
      <c r="GH82" s="13"/>
      <c r="GI82" s="14"/>
      <c r="GK82" s="65"/>
      <c r="GL82" s="13"/>
      <c r="GM82" s="14"/>
      <c r="GO82" s="65"/>
      <c r="GP82" s="13"/>
      <c r="GQ82" s="14"/>
      <c r="GS82" s="65"/>
      <c r="GT82" s="13"/>
      <c r="GU82" s="14"/>
      <c r="GW82" s="65"/>
      <c r="GX82" s="13"/>
      <c r="GY82" s="14"/>
      <c r="HA82" s="65"/>
      <c r="HB82" s="13"/>
      <c r="HC82" s="14"/>
      <c r="HE82" s="65"/>
      <c r="HF82" s="13"/>
      <c r="HG82" s="14"/>
      <c r="HI82" s="65"/>
      <c r="HJ82" s="13"/>
      <c r="HK82" s="14"/>
      <c r="HM82" s="65"/>
      <c r="HN82" s="13"/>
      <c r="HO82" s="14"/>
      <c r="HQ82" s="65"/>
      <c r="HR82" s="13"/>
      <c r="HS82" s="14"/>
      <c r="HU82" s="65"/>
      <c r="HV82" s="13"/>
      <c r="HW82" s="14"/>
      <c r="HY82" s="65"/>
      <c r="HZ82" s="13"/>
      <c r="IA82" s="14"/>
      <c r="IC82" s="65"/>
      <c r="ID82" s="13"/>
      <c r="IE82" s="14"/>
      <c r="IG82" s="65"/>
      <c r="IH82" s="13"/>
      <c r="II82" s="14"/>
      <c r="IK82" s="65"/>
      <c r="IL82" s="13"/>
      <c r="IM82" s="14"/>
      <c r="IO82" s="65"/>
      <c r="IP82" s="13"/>
      <c r="IQ82" s="14"/>
      <c r="IS82" s="65"/>
      <c r="IT82" s="13"/>
      <c r="IU82" s="14"/>
      <c r="IW82" s="65"/>
      <c r="IX82" s="13"/>
      <c r="IY82" s="14"/>
      <c r="JA82" s="65"/>
      <c r="JB82" s="13"/>
      <c r="JC82" s="14"/>
      <c r="JE82" s="65"/>
      <c r="JF82" s="13"/>
      <c r="JG82" s="14"/>
      <c r="JI82" s="65"/>
      <c r="JJ82" s="13"/>
      <c r="JK82" s="14"/>
      <c r="JM82" s="65"/>
      <c r="JN82" s="13"/>
      <c r="JO82" s="14"/>
      <c r="JQ82" s="65"/>
      <c r="JR82" s="13"/>
      <c r="JS82" s="14"/>
      <c r="JU82" s="65"/>
      <c r="JV82" s="13"/>
      <c r="JW82" s="14"/>
      <c r="JY82" s="65"/>
      <c r="JZ82" s="13"/>
      <c r="KA82" s="14"/>
      <c r="KC82" s="65"/>
      <c r="KD82" s="13"/>
      <c r="KE82" s="14"/>
      <c r="KG82" s="65"/>
      <c r="KH82" s="13"/>
      <c r="KI82" s="14"/>
      <c r="KK82" s="65"/>
      <c r="KL82" s="13"/>
      <c r="KM82" s="14"/>
      <c r="KO82" s="65"/>
      <c r="KP82" s="13"/>
      <c r="KQ82" s="14"/>
      <c r="KS82" s="65"/>
      <c r="KT82" s="13"/>
      <c r="KU82" s="14"/>
      <c r="KW82" s="65"/>
      <c r="KX82" s="13"/>
      <c r="KY82" s="14"/>
      <c r="LA82" s="65">
        <f t="shared" si="190"/>
        <v>5</v>
      </c>
      <c r="LB82" s="13">
        <f t="shared" si="180"/>
        <v>2641431.7154876296</v>
      </c>
      <c r="LC82" s="14">
        <v>43259</v>
      </c>
      <c r="LE82" s="65"/>
      <c r="LF82" s="13"/>
      <c r="LG82" s="14"/>
      <c r="LI82" s="65"/>
      <c r="LJ82" s="13"/>
      <c r="LK82" s="14"/>
      <c r="LM82" s="65"/>
      <c r="LN82" s="13"/>
      <c r="LO82" s="14"/>
      <c r="LQ82" s="65"/>
      <c r="LR82" s="13"/>
      <c r="LS82" s="14"/>
      <c r="LU82" s="65"/>
      <c r="LV82" s="13"/>
      <c r="LW82" s="14"/>
      <c r="LY82" s="65"/>
      <c r="LZ82" s="13"/>
      <c r="MA82" s="14"/>
      <c r="MC82" s="65"/>
      <c r="MD82" s="13"/>
      <c r="ME82" s="14"/>
      <c r="MG82" s="65"/>
      <c r="MH82" s="13"/>
      <c r="MI82" s="14"/>
      <c r="MK82" s="65"/>
      <c r="ML82" s="13"/>
      <c r="MM82" s="14"/>
      <c r="MO82" s="65"/>
      <c r="MP82" s="13"/>
      <c r="MQ82" s="14"/>
      <c r="MS82" s="65"/>
      <c r="MT82" s="13"/>
      <c r="MU82" s="14"/>
    </row>
    <row r="83" spans="1:359" x14ac:dyDescent="0.25">
      <c r="A83" s="15">
        <f t="shared" si="171"/>
        <v>733483.35583749425</v>
      </c>
      <c r="B83" s="20">
        <v>42777</v>
      </c>
      <c r="D83" s="12">
        <v>93</v>
      </c>
      <c r="E83" s="12">
        <v>1141630.5020165113</v>
      </c>
      <c r="F83" s="14">
        <v>42507</v>
      </c>
      <c r="I83" s="12"/>
      <c r="J83" s="13"/>
      <c r="K83" s="14"/>
      <c r="N83" s="12">
        <f t="shared" si="182"/>
        <v>23</v>
      </c>
      <c r="O83" s="13">
        <f t="shared" si="172"/>
        <v>733483.35583749425</v>
      </c>
      <c r="P83" s="14">
        <v>42777</v>
      </c>
      <c r="T83" s="15"/>
      <c r="U83" s="20"/>
      <c r="W83" s="12"/>
      <c r="X83" s="12"/>
      <c r="Y83" s="14"/>
      <c r="AB83" s="12"/>
      <c r="AC83" s="13"/>
      <c r="AD83" s="14"/>
      <c r="AG83" s="12"/>
      <c r="AH83" s="13"/>
      <c r="AI83" s="14"/>
      <c r="AK83" s="12"/>
      <c r="AL83" s="13"/>
      <c r="AM83" s="14"/>
      <c r="CK83" s="65"/>
      <c r="CL83" s="13"/>
      <c r="CO83" s="65"/>
      <c r="CP83" s="13"/>
      <c r="CS83" s="65"/>
      <c r="CT83" s="13"/>
      <c r="CW83" s="65"/>
      <c r="CX83" s="13"/>
      <c r="DA83" s="65"/>
      <c r="DB83" s="13"/>
      <c r="DE83" s="65"/>
      <c r="DF83" s="13"/>
      <c r="DI83" s="65"/>
      <c r="DJ83" s="13"/>
      <c r="DM83" s="65"/>
      <c r="DN83" s="13"/>
      <c r="DQ83" s="65"/>
      <c r="DR83" s="13"/>
      <c r="DU83" s="65">
        <f t="shared" si="184"/>
        <v>17</v>
      </c>
      <c r="DV83" s="13">
        <f t="shared" si="174"/>
        <v>2336669.9989607683</v>
      </c>
      <c r="DW83" s="14">
        <v>43085</v>
      </c>
      <c r="DY83" s="65">
        <f t="shared" si="185"/>
        <v>28</v>
      </c>
      <c r="DZ83" s="13">
        <f t="shared" si="175"/>
        <v>794313.22395028512</v>
      </c>
      <c r="EA83" s="14">
        <v>43088</v>
      </c>
      <c r="EC83" s="65"/>
      <c r="ED83" s="13"/>
      <c r="EE83" s="14"/>
      <c r="EG83" s="65"/>
      <c r="EH83" s="13"/>
      <c r="EI83" s="14"/>
      <c r="EK83" s="65"/>
      <c r="EL83" s="13"/>
      <c r="EM83" s="14"/>
      <c r="EO83" s="65">
        <f t="shared" si="186"/>
        <v>2</v>
      </c>
      <c r="EP83" s="13">
        <f t="shared" si="176"/>
        <v>1283546.4545656582</v>
      </c>
      <c r="EQ83" s="14">
        <v>43100</v>
      </c>
      <c r="ES83" s="65"/>
      <c r="ET83" s="13"/>
      <c r="EU83" s="14"/>
      <c r="EW83" s="65"/>
      <c r="EX83" s="13"/>
      <c r="EY83" s="14"/>
      <c r="FA83" s="65">
        <f t="shared" si="187"/>
        <v>1</v>
      </c>
      <c r="FB83" s="13">
        <f t="shared" si="177"/>
        <v>1263128.9754775984</v>
      </c>
      <c r="FC83" s="14">
        <v>43107</v>
      </c>
      <c r="FE83" s="65"/>
      <c r="FF83" s="13"/>
      <c r="FG83" s="14"/>
      <c r="FI83" s="65"/>
      <c r="FJ83" s="13"/>
      <c r="FK83" s="14"/>
      <c r="FM83" s="65"/>
      <c r="FN83" s="13"/>
      <c r="FO83" s="14"/>
      <c r="FQ83" s="65"/>
      <c r="FR83" s="13"/>
      <c r="FS83" s="14"/>
      <c r="FU83" s="65"/>
      <c r="FV83" s="13"/>
      <c r="FW83" s="14"/>
      <c r="FY83" s="65"/>
      <c r="FZ83" s="13"/>
      <c r="GA83" s="14"/>
      <c r="GC83" s="65"/>
      <c r="GD83" s="13"/>
      <c r="GE83" s="14"/>
      <c r="GG83" s="65"/>
      <c r="GH83" s="13"/>
      <c r="GI83" s="14"/>
      <c r="GK83" s="65"/>
      <c r="GL83" s="13"/>
      <c r="GM83" s="14"/>
      <c r="GO83" s="65"/>
      <c r="GP83" s="13"/>
      <c r="GQ83" s="14"/>
      <c r="GS83" s="65"/>
      <c r="GT83" s="13"/>
      <c r="GU83" s="14"/>
      <c r="GW83" s="65"/>
      <c r="GX83" s="13"/>
      <c r="GY83" s="14"/>
      <c r="HA83" s="65"/>
      <c r="HB83" s="13"/>
      <c r="HC83" s="14"/>
      <c r="HE83" s="65"/>
      <c r="HF83" s="13"/>
      <c r="HG83" s="14"/>
      <c r="HI83" s="65"/>
      <c r="HJ83" s="13"/>
      <c r="HK83" s="14"/>
      <c r="HM83" s="65"/>
      <c r="HN83" s="13"/>
      <c r="HO83" s="14"/>
      <c r="HQ83" s="65"/>
      <c r="HR83" s="13"/>
      <c r="HS83" s="14"/>
      <c r="HU83" s="65"/>
      <c r="HV83" s="13"/>
      <c r="HW83" s="14"/>
      <c r="HY83" s="65"/>
      <c r="HZ83" s="13"/>
      <c r="IA83" s="14"/>
      <c r="IC83" s="65"/>
      <c r="ID83" s="13"/>
      <c r="IE83" s="14"/>
      <c r="IG83" s="65"/>
      <c r="IH83" s="13"/>
      <c r="II83" s="14"/>
      <c r="IK83" s="65"/>
      <c r="IL83" s="13"/>
      <c r="IM83" s="14"/>
      <c r="IO83" s="65"/>
      <c r="IP83" s="13"/>
      <c r="IQ83" s="14"/>
      <c r="IS83" s="65"/>
      <c r="IT83" s="13"/>
      <c r="IU83" s="14"/>
      <c r="IW83" s="65"/>
      <c r="IX83" s="13"/>
      <c r="IY83" s="14"/>
      <c r="JA83" s="65"/>
      <c r="JB83" s="13"/>
      <c r="JC83" s="14"/>
      <c r="JE83" s="65"/>
      <c r="JF83" s="13"/>
      <c r="JG83" s="14"/>
      <c r="JI83" s="65"/>
      <c r="JJ83" s="13"/>
      <c r="JK83" s="14"/>
      <c r="JM83" s="65"/>
      <c r="JN83" s="13"/>
      <c r="JO83" s="14"/>
      <c r="JQ83" s="65"/>
      <c r="JR83" s="13"/>
      <c r="JS83" s="14"/>
      <c r="JU83" s="65"/>
      <c r="JV83" s="13"/>
      <c r="JW83" s="14"/>
      <c r="JY83" s="65"/>
      <c r="JZ83" s="13"/>
      <c r="KA83" s="14"/>
      <c r="KC83" s="65"/>
      <c r="KD83" s="13"/>
      <c r="KE83" s="14"/>
      <c r="KG83" s="65"/>
      <c r="KH83" s="13"/>
      <c r="KI83" s="14"/>
      <c r="KK83" s="65"/>
      <c r="KL83" s="13"/>
      <c r="KM83" s="14"/>
      <c r="KO83" s="65"/>
      <c r="KP83" s="13"/>
      <c r="KQ83" s="14"/>
      <c r="KS83" s="65"/>
      <c r="KT83" s="13"/>
      <c r="KU83" s="14"/>
      <c r="KW83" s="65"/>
      <c r="KX83" s="13"/>
      <c r="KY83" s="14"/>
      <c r="LA83" s="65">
        <f t="shared" si="190"/>
        <v>4</v>
      </c>
      <c r="LB83" s="13">
        <f t="shared" si="180"/>
        <v>2641634.1631685281</v>
      </c>
      <c r="LC83" s="14">
        <v>43260</v>
      </c>
      <c r="LE83" s="65"/>
      <c r="LF83" s="13"/>
      <c r="LG83" s="14"/>
      <c r="LI83" s="65"/>
      <c r="LJ83" s="13"/>
      <c r="LK83" s="14"/>
      <c r="LM83" s="65"/>
      <c r="LN83" s="13"/>
      <c r="LO83" s="14"/>
      <c r="LQ83" s="65"/>
      <c r="LR83" s="13"/>
      <c r="LS83" s="14"/>
      <c r="LU83" s="65"/>
      <c r="LV83" s="13"/>
      <c r="LW83" s="14"/>
      <c r="LY83" s="65"/>
      <c r="LZ83" s="13"/>
      <c r="MA83" s="14"/>
      <c r="MC83" s="65"/>
      <c r="MD83" s="13"/>
      <c r="ME83" s="14"/>
      <c r="MG83" s="65"/>
      <c r="MH83" s="13"/>
      <c r="MI83" s="14"/>
      <c r="MK83" s="65"/>
      <c r="ML83" s="13"/>
      <c r="MM83" s="14"/>
      <c r="MO83" s="65"/>
      <c r="MP83" s="13"/>
      <c r="MQ83" s="14"/>
      <c r="MS83" s="65"/>
      <c r="MT83" s="13"/>
      <c r="MU83" s="14"/>
    </row>
    <row r="84" spans="1:359" x14ac:dyDescent="0.25">
      <c r="A84" s="15">
        <f t="shared" si="171"/>
        <v>733512.77049303916</v>
      </c>
      <c r="B84" s="20">
        <v>42778</v>
      </c>
      <c r="D84" s="12">
        <v>92</v>
      </c>
      <c r="E84" s="12">
        <v>1141657.6923925914</v>
      </c>
      <c r="F84" s="14">
        <v>42508</v>
      </c>
      <c r="I84" s="12"/>
      <c r="J84" s="13"/>
      <c r="K84" s="14"/>
      <c r="N84" s="12">
        <f t="shared" si="182"/>
        <v>22</v>
      </c>
      <c r="O84" s="13">
        <f t="shared" si="172"/>
        <v>733512.77049303916</v>
      </c>
      <c r="P84" s="14">
        <v>42778</v>
      </c>
      <c r="T84" s="15"/>
      <c r="U84" s="20"/>
      <c r="W84" s="12"/>
      <c r="X84" s="12"/>
      <c r="Y84" s="14"/>
      <c r="AB84" s="12"/>
      <c r="AC84" s="13"/>
      <c r="AD84" s="14"/>
      <c r="AG84" s="12"/>
      <c r="AH84" s="13"/>
      <c r="AI84" s="14"/>
      <c r="AK84" s="12"/>
      <c r="AL84" s="13"/>
      <c r="AM84" s="14"/>
      <c r="CK84" s="65"/>
      <c r="CL84" s="13"/>
      <c r="CO84" s="65"/>
      <c r="CP84" s="13"/>
      <c r="CS84" s="65"/>
      <c r="CT84" s="13"/>
      <c r="CW84" s="65"/>
      <c r="CX84" s="13"/>
      <c r="DA84" s="65"/>
      <c r="DB84" s="13"/>
      <c r="DE84" s="65"/>
      <c r="DF84" s="13"/>
      <c r="DI84" s="65"/>
      <c r="DJ84" s="13"/>
      <c r="DM84" s="65"/>
      <c r="DN84" s="13"/>
      <c r="DQ84" s="65"/>
      <c r="DR84" s="13"/>
      <c r="DU84" s="65">
        <f t="shared" si="184"/>
        <v>16</v>
      </c>
      <c r="DV84" s="13">
        <f t="shared" si="174"/>
        <v>2336785.4512572573</v>
      </c>
      <c r="DW84" s="14">
        <v>43086</v>
      </c>
      <c r="DY84" s="65">
        <f t="shared" si="185"/>
        <v>27</v>
      </c>
      <c r="DZ84" s="13">
        <f t="shared" si="175"/>
        <v>794354.89482136571</v>
      </c>
      <c r="EA84" s="14">
        <v>43089</v>
      </c>
      <c r="EC84" s="65"/>
      <c r="ED84" s="13"/>
      <c r="EE84" s="14"/>
      <c r="EG84" s="65"/>
      <c r="EH84" s="13"/>
      <c r="EI84" s="14"/>
      <c r="EK84" s="65"/>
      <c r="EL84" s="13"/>
      <c r="EM84" s="14"/>
      <c r="EO84" s="65">
        <f t="shared" si="186"/>
        <v>1</v>
      </c>
      <c r="EP84" s="13">
        <f t="shared" si="176"/>
        <v>1283621.7474715158</v>
      </c>
      <c r="EQ84" s="14">
        <v>43101</v>
      </c>
      <c r="ES84" s="65"/>
      <c r="ET84" s="13"/>
      <c r="EU84" s="14"/>
      <c r="EW84" s="65"/>
      <c r="EX84" s="13"/>
      <c r="EY84" s="14"/>
      <c r="FA84" s="65">
        <f t="shared" si="187"/>
        <v>0</v>
      </c>
      <c r="FB84" s="13">
        <f>($FC$2/(1+$FC$4*FA84/360))*0</f>
        <v>0</v>
      </c>
      <c r="FC84" s="14">
        <v>43108</v>
      </c>
      <c r="FE84" s="65"/>
      <c r="FF84" s="13"/>
      <c r="FG84" s="14"/>
      <c r="FI84" s="65"/>
      <c r="FJ84" s="13"/>
      <c r="FK84" s="14"/>
      <c r="FM84" s="65"/>
      <c r="FN84" s="13"/>
      <c r="FO84" s="14"/>
      <c r="FQ84" s="65"/>
      <c r="FR84" s="13"/>
      <c r="FS84" s="14"/>
      <c r="FU84" s="65"/>
      <c r="FV84" s="13"/>
      <c r="FW84" s="14"/>
      <c r="FY84" s="65"/>
      <c r="FZ84" s="13"/>
      <c r="GA84" s="14"/>
      <c r="GC84" s="65"/>
      <c r="GD84" s="13"/>
      <c r="GE84" s="14"/>
      <c r="GG84" s="65"/>
      <c r="GH84" s="13"/>
      <c r="GI84" s="14"/>
      <c r="GK84" s="65"/>
      <c r="GL84" s="13"/>
      <c r="GM84" s="14"/>
      <c r="GO84" s="65"/>
      <c r="GP84" s="13"/>
      <c r="GQ84" s="14"/>
      <c r="GS84" s="65"/>
      <c r="GT84" s="13"/>
      <c r="GU84" s="14"/>
      <c r="GW84" s="65"/>
      <c r="GX84" s="13"/>
      <c r="GY84" s="14"/>
      <c r="HA84" s="65"/>
      <c r="HB84" s="13"/>
      <c r="HC84" s="14"/>
      <c r="HE84" s="65"/>
      <c r="HF84" s="13"/>
      <c r="HG84" s="14"/>
      <c r="HI84" s="65"/>
      <c r="HJ84" s="13"/>
      <c r="HK84" s="14"/>
      <c r="HM84" s="65"/>
      <c r="HN84" s="13"/>
      <c r="HO84" s="14"/>
      <c r="HQ84" s="65"/>
      <c r="HR84" s="13"/>
      <c r="HS84" s="14"/>
      <c r="HU84" s="65"/>
      <c r="HV84" s="13"/>
      <c r="HW84" s="14"/>
      <c r="HY84" s="65"/>
      <c r="HZ84" s="13"/>
      <c r="IA84" s="14"/>
      <c r="IC84" s="65"/>
      <c r="ID84" s="13"/>
      <c r="IE84" s="14"/>
      <c r="IG84" s="65"/>
      <c r="IH84" s="13"/>
      <c r="II84" s="14"/>
      <c r="IK84" s="65"/>
      <c r="IL84" s="13"/>
      <c r="IM84" s="14"/>
      <c r="IO84" s="65"/>
      <c r="IP84" s="13"/>
      <c r="IQ84" s="14"/>
      <c r="IS84" s="65"/>
      <c r="IT84" s="13"/>
      <c r="IU84" s="14"/>
      <c r="IW84" s="65"/>
      <c r="IX84" s="13"/>
      <c r="IY84" s="14"/>
      <c r="JA84" s="65"/>
      <c r="JB84" s="13"/>
      <c r="JC84" s="14"/>
      <c r="JE84" s="65"/>
      <c r="JF84" s="13"/>
      <c r="JG84" s="14"/>
      <c r="JI84" s="65"/>
      <c r="JJ84" s="13"/>
      <c r="JK84" s="14"/>
      <c r="JM84" s="65"/>
      <c r="JN84" s="13"/>
      <c r="JO84" s="14"/>
      <c r="JQ84" s="65"/>
      <c r="JR84" s="13"/>
      <c r="JS84" s="14"/>
      <c r="JU84" s="65"/>
      <c r="JV84" s="13"/>
      <c r="JW84" s="14"/>
      <c r="JY84" s="65"/>
      <c r="JZ84" s="13"/>
      <c r="KA84" s="14"/>
      <c r="KC84" s="65"/>
      <c r="KD84" s="13"/>
      <c r="KE84" s="14"/>
      <c r="KG84" s="65"/>
      <c r="KH84" s="13"/>
      <c r="KI84" s="14"/>
      <c r="KK84" s="65"/>
      <c r="KL84" s="13"/>
      <c r="KM84" s="14"/>
      <c r="KO84" s="65"/>
      <c r="KP84" s="13"/>
      <c r="KQ84" s="14"/>
      <c r="KS84" s="65"/>
      <c r="KT84" s="13"/>
      <c r="KU84" s="14"/>
      <c r="KW84" s="65"/>
      <c r="KX84" s="13"/>
      <c r="KY84" s="14"/>
      <c r="LA84" s="65">
        <f t="shared" si="190"/>
        <v>3</v>
      </c>
      <c r="LB84" s="13">
        <f t="shared" si="180"/>
        <v>2641836.6418842669</v>
      </c>
      <c r="LC84" s="14">
        <v>43261</v>
      </c>
      <c r="LE84" s="65"/>
      <c r="LF84" s="13"/>
      <c r="LG84" s="14"/>
      <c r="LI84" s="65"/>
      <c r="LJ84" s="13"/>
      <c r="LK84" s="14"/>
      <c r="LM84" s="65"/>
      <c r="LN84" s="13"/>
      <c r="LO84" s="14"/>
      <c r="LQ84" s="65"/>
      <c r="LR84" s="13"/>
      <c r="LS84" s="14"/>
      <c r="LU84" s="65"/>
      <c r="LV84" s="13"/>
      <c r="LW84" s="14"/>
      <c r="LY84" s="65"/>
      <c r="LZ84" s="13"/>
      <c r="MA84" s="14"/>
      <c r="MC84" s="65"/>
      <c r="MD84" s="13"/>
      <c r="ME84" s="14"/>
      <c r="MG84" s="65"/>
      <c r="MH84" s="13"/>
      <c r="MI84" s="14"/>
      <c r="MK84" s="65"/>
      <c r="ML84" s="13"/>
      <c r="MM84" s="14"/>
      <c r="MO84" s="65"/>
      <c r="MP84" s="13"/>
      <c r="MQ84" s="14"/>
      <c r="MS84" s="65"/>
      <c r="MT84" s="13"/>
      <c r="MU84" s="14"/>
    </row>
    <row r="85" spans="1:359" x14ac:dyDescent="0.25">
      <c r="A85" s="15">
        <f t="shared" si="171"/>
        <v>733542.18750789238</v>
      </c>
      <c r="B85" s="20">
        <v>42779</v>
      </c>
      <c r="D85" s="12">
        <v>91</v>
      </c>
      <c r="E85" s="12">
        <v>1141684.8840638965</v>
      </c>
      <c r="F85" s="14">
        <v>42509</v>
      </c>
      <c r="I85" s="12"/>
      <c r="J85" s="13"/>
      <c r="K85" s="14"/>
      <c r="N85" s="12">
        <f t="shared" si="182"/>
        <v>21</v>
      </c>
      <c r="O85" s="13">
        <f t="shared" si="172"/>
        <v>733542.18750789238</v>
      </c>
      <c r="P85" s="14">
        <v>42779</v>
      </c>
      <c r="T85" s="15"/>
      <c r="U85" s="20"/>
      <c r="W85" s="12"/>
      <c r="X85" s="12"/>
      <c r="Y85" s="14"/>
      <c r="AB85" s="12"/>
      <c r="AC85" s="13"/>
      <c r="AD85" s="14"/>
      <c r="AG85" s="12"/>
      <c r="AH85" s="13"/>
      <c r="AI85" s="14"/>
      <c r="AK85" s="12"/>
      <c r="AL85" s="13"/>
      <c r="AM85" s="14"/>
      <c r="CK85" s="65"/>
      <c r="CL85" s="13"/>
      <c r="CO85" s="65"/>
      <c r="CP85" s="13"/>
      <c r="CS85" s="65"/>
      <c r="CT85" s="13"/>
      <c r="CW85" s="65"/>
      <c r="CX85" s="13"/>
      <c r="DA85" s="65"/>
      <c r="DB85" s="13"/>
      <c r="DE85" s="65"/>
      <c r="DF85" s="13"/>
      <c r="DI85" s="65"/>
      <c r="DJ85" s="13"/>
      <c r="DM85" s="65"/>
      <c r="DN85" s="13"/>
      <c r="DQ85" s="65"/>
      <c r="DR85" s="13"/>
      <c r="DU85" s="65">
        <f t="shared" si="184"/>
        <v>15</v>
      </c>
      <c r="DV85" s="13">
        <f t="shared" si="174"/>
        <v>2336900.9149630526</v>
      </c>
      <c r="DW85" s="14">
        <v>43087</v>
      </c>
      <c r="DY85" s="65">
        <f t="shared" si="185"/>
        <v>26</v>
      </c>
      <c r="DZ85" s="13">
        <f t="shared" si="175"/>
        <v>794396.57006490906</v>
      </c>
      <c r="EA85" s="14">
        <v>43090</v>
      </c>
      <c r="EC85" s="65"/>
      <c r="ED85" s="13"/>
      <c r="EE85" s="14"/>
      <c r="EG85" s="65"/>
      <c r="EH85" s="13"/>
      <c r="EI85" s="14"/>
      <c r="EK85" s="65"/>
      <c r="EL85" s="13"/>
      <c r="EM85" s="14"/>
      <c r="EO85" s="65">
        <f t="shared" si="186"/>
        <v>0</v>
      </c>
      <c r="EP85" s="13">
        <f>($EQ$2/(1+$EQ$4*EO85/360))*0</f>
        <v>0</v>
      </c>
      <c r="EQ85" s="14">
        <v>43102</v>
      </c>
      <c r="ES85" s="65"/>
      <c r="ET85" s="13"/>
      <c r="EU85" s="14"/>
      <c r="EW85" s="65"/>
      <c r="EX85" s="13"/>
      <c r="EY85" s="14"/>
      <c r="FA85" s="65"/>
      <c r="FB85" s="13"/>
      <c r="FC85" s="14"/>
      <c r="FE85" s="65"/>
      <c r="FF85" s="13"/>
      <c r="FG85" s="14"/>
      <c r="FI85" s="65"/>
      <c r="FJ85" s="13"/>
      <c r="FK85" s="14"/>
      <c r="FM85" s="65"/>
      <c r="FN85" s="13"/>
      <c r="FO85" s="14"/>
      <c r="FQ85" s="65"/>
      <c r="FR85" s="13"/>
      <c r="FS85" s="14"/>
      <c r="FU85" s="65"/>
      <c r="FV85" s="13"/>
      <c r="FW85" s="14"/>
      <c r="FY85" s="65"/>
      <c r="FZ85" s="13"/>
      <c r="GA85" s="14"/>
      <c r="GC85" s="65"/>
      <c r="GD85" s="13"/>
      <c r="GE85" s="14"/>
      <c r="GG85" s="65"/>
      <c r="GH85" s="13"/>
      <c r="GI85" s="14"/>
      <c r="GK85" s="65"/>
      <c r="GL85" s="13"/>
      <c r="GM85" s="14"/>
      <c r="GO85" s="65"/>
      <c r="GP85" s="13"/>
      <c r="GQ85" s="14"/>
      <c r="GS85" s="65"/>
      <c r="GT85" s="13"/>
      <c r="GU85" s="14"/>
      <c r="GW85" s="65"/>
      <c r="GX85" s="13"/>
      <c r="GY85" s="14"/>
      <c r="HA85" s="65"/>
      <c r="HB85" s="13"/>
      <c r="HC85" s="14"/>
      <c r="HE85" s="65"/>
      <c r="HF85" s="13"/>
      <c r="HG85" s="14"/>
      <c r="HI85" s="65"/>
      <c r="HJ85" s="13"/>
      <c r="HK85" s="14"/>
      <c r="HM85" s="65"/>
      <c r="HN85" s="13"/>
      <c r="HO85" s="14"/>
      <c r="HQ85" s="65"/>
      <c r="HR85" s="13"/>
      <c r="HS85" s="14"/>
      <c r="HU85" s="65"/>
      <c r="HV85" s="13"/>
      <c r="HW85" s="14"/>
      <c r="HY85" s="65"/>
      <c r="HZ85" s="13"/>
      <c r="IA85" s="14"/>
      <c r="IC85" s="65"/>
      <c r="ID85" s="13"/>
      <c r="IE85" s="14"/>
      <c r="IG85" s="65"/>
      <c r="IH85" s="13"/>
      <c r="II85" s="14"/>
      <c r="IK85" s="65"/>
      <c r="IL85" s="13"/>
      <c r="IM85" s="14"/>
      <c r="IO85" s="65"/>
      <c r="IP85" s="13"/>
      <c r="IQ85" s="14"/>
      <c r="IS85" s="65"/>
      <c r="IT85" s="13"/>
      <c r="IU85" s="14"/>
      <c r="IW85" s="65"/>
      <c r="IX85" s="13"/>
      <c r="IY85" s="14"/>
      <c r="JA85" s="65"/>
      <c r="JB85" s="13"/>
      <c r="JC85" s="14"/>
      <c r="JE85" s="65"/>
      <c r="JF85" s="13"/>
      <c r="JG85" s="14"/>
      <c r="JI85" s="65"/>
      <c r="JJ85" s="13"/>
      <c r="JK85" s="14"/>
      <c r="JM85" s="65"/>
      <c r="JN85" s="13"/>
      <c r="JO85" s="14"/>
      <c r="JQ85" s="65"/>
      <c r="JR85" s="13"/>
      <c r="JS85" s="14"/>
      <c r="JU85" s="65"/>
      <c r="JV85" s="13"/>
      <c r="JW85" s="14"/>
      <c r="JY85" s="65"/>
      <c r="JZ85" s="13"/>
      <c r="KA85" s="14"/>
      <c r="KC85" s="65"/>
      <c r="KD85" s="13"/>
      <c r="KE85" s="14"/>
      <c r="KG85" s="65"/>
      <c r="KH85" s="13"/>
      <c r="KI85" s="14"/>
      <c r="KK85" s="65"/>
      <c r="KL85" s="13"/>
      <c r="KM85" s="14"/>
      <c r="KO85" s="65"/>
      <c r="KP85" s="13"/>
      <c r="KQ85" s="14"/>
      <c r="KS85" s="65"/>
      <c r="KT85" s="13"/>
      <c r="KU85" s="14"/>
      <c r="KW85" s="65"/>
      <c r="KX85" s="13"/>
      <c r="KY85" s="14"/>
      <c r="LA85" s="65">
        <f t="shared" si="190"/>
        <v>2</v>
      </c>
      <c r="LB85" s="13">
        <f t="shared" si="180"/>
        <v>2642039.1516419817</v>
      </c>
      <c r="LC85" s="14">
        <v>43262</v>
      </c>
      <c r="LE85" s="65"/>
      <c r="LF85" s="13"/>
      <c r="LG85" s="14"/>
      <c r="LI85" s="65"/>
      <c r="LJ85" s="13"/>
      <c r="LK85" s="14"/>
      <c r="LM85" s="65"/>
      <c r="LN85" s="13"/>
      <c r="LO85" s="14"/>
      <c r="LQ85" s="65"/>
      <c r="LR85" s="13"/>
      <c r="LS85" s="14"/>
      <c r="LU85" s="65"/>
      <c r="LV85" s="13"/>
      <c r="LW85" s="14"/>
      <c r="LY85" s="65"/>
      <c r="LZ85" s="13"/>
      <c r="MA85" s="14"/>
      <c r="MC85" s="65"/>
      <c r="MD85" s="13"/>
      <c r="ME85" s="14"/>
      <c r="MG85" s="65"/>
      <c r="MH85" s="13"/>
      <c r="MI85" s="14"/>
      <c r="MK85" s="65"/>
      <c r="ML85" s="13"/>
      <c r="MM85" s="14"/>
      <c r="MO85" s="65"/>
      <c r="MP85" s="13"/>
      <c r="MQ85" s="14"/>
      <c r="MS85" s="65"/>
      <c r="MT85" s="13"/>
      <c r="MU85" s="14"/>
    </row>
    <row r="86" spans="1:359" x14ac:dyDescent="0.25">
      <c r="A86" s="15">
        <f t="shared" si="171"/>
        <v>733571.6068823376</v>
      </c>
      <c r="B86" s="20">
        <v>42780</v>
      </c>
      <c r="D86" s="12">
        <v>90</v>
      </c>
      <c r="E86" s="12">
        <v>1141712.077030519</v>
      </c>
      <c r="F86" s="14">
        <v>42510</v>
      </c>
      <c r="I86" s="12"/>
      <c r="J86" s="13"/>
      <c r="K86" s="14"/>
      <c r="N86" s="12">
        <f t="shared" si="182"/>
        <v>20</v>
      </c>
      <c r="O86" s="13">
        <f t="shared" si="172"/>
        <v>733571.6068823376</v>
      </c>
      <c r="P86" s="14">
        <v>42780</v>
      </c>
      <c r="T86" s="15"/>
      <c r="U86" s="20"/>
      <c r="W86" s="12"/>
      <c r="X86" s="12"/>
      <c r="Y86" s="14"/>
      <c r="AB86" s="12"/>
      <c r="AC86" s="13"/>
      <c r="AD86" s="14"/>
      <c r="AG86" s="12"/>
      <c r="AH86" s="13"/>
      <c r="AI86" s="14"/>
      <c r="AK86" s="12"/>
      <c r="AL86" s="13"/>
      <c r="AM86" s="14"/>
      <c r="CK86" s="65"/>
      <c r="CL86" s="13"/>
      <c r="CO86" s="65"/>
      <c r="CP86" s="13"/>
      <c r="CS86" s="65"/>
      <c r="CT86" s="13"/>
      <c r="CW86" s="65"/>
      <c r="CX86" s="13"/>
      <c r="DA86" s="65"/>
      <c r="DB86" s="13"/>
      <c r="DE86" s="65"/>
      <c r="DF86" s="13"/>
      <c r="DI86" s="65"/>
      <c r="DJ86" s="13"/>
      <c r="DM86" s="65"/>
      <c r="DN86" s="13"/>
      <c r="DQ86" s="65"/>
      <c r="DR86" s="13"/>
      <c r="DU86" s="65">
        <f t="shared" si="184"/>
        <v>14</v>
      </c>
      <c r="DV86" s="13">
        <f t="shared" si="174"/>
        <v>2337016.3900798452</v>
      </c>
      <c r="DW86" s="14">
        <v>43088</v>
      </c>
      <c r="DY86" s="65">
        <f t="shared" si="185"/>
        <v>25</v>
      </c>
      <c r="DZ86" s="13">
        <f t="shared" si="175"/>
        <v>794438.24968160398</v>
      </c>
      <c r="EA86" s="14">
        <v>43091</v>
      </c>
      <c r="EC86" s="65"/>
      <c r="ED86" s="13"/>
      <c r="EE86" s="14"/>
      <c r="EG86" s="65"/>
      <c r="EH86" s="13"/>
      <c r="EI86" s="14"/>
      <c r="EK86" s="65"/>
      <c r="EL86" s="13"/>
      <c r="EM86" s="14"/>
      <c r="EO86" s="65"/>
      <c r="EP86" s="13"/>
      <c r="EQ86" s="14"/>
      <c r="ES86" s="65"/>
      <c r="ET86" s="13"/>
      <c r="EU86" s="14"/>
      <c r="EW86" s="65"/>
      <c r="EX86" s="13"/>
      <c r="EY86" s="14"/>
      <c r="FA86" s="65"/>
      <c r="FB86" s="13"/>
      <c r="FC86" s="14"/>
      <c r="FE86" s="65"/>
      <c r="FF86" s="13"/>
      <c r="FG86" s="14"/>
      <c r="FI86" s="65"/>
      <c r="FJ86" s="13"/>
      <c r="FK86" s="14"/>
      <c r="FM86" s="65"/>
      <c r="FN86" s="13"/>
      <c r="FO86" s="14"/>
      <c r="FQ86" s="65"/>
      <c r="FR86" s="13"/>
      <c r="FS86" s="14"/>
      <c r="FU86" s="65"/>
      <c r="FV86" s="13"/>
      <c r="FW86" s="14"/>
      <c r="FY86" s="65"/>
      <c r="FZ86" s="13"/>
      <c r="GA86" s="14"/>
      <c r="GC86" s="65"/>
      <c r="GD86" s="13"/>
      <c r="GE86" s="14"/>
      <c r="GG86" s="65"/>
      <c r="GH86" s="13"/>
      <c r="GI86" s="14"/>
      <c r="GK86" s="65"/>
      <c r="GL86" s="13"/>
      <c r="GM86" s="14"/>
      <c r="GO86" s="65"/>
      <c r="GP86" s="13"/>
      <c r="GQ86" s="14"/>
      <c r="GS86" s="65"/>
      <c r="GT86" s="13"/>
      <c r="GU86" s="14"/>
      <c r="GW86" s="65"/>
      <c r="GX86" s="13"/>
      <c r="GY86" s="14"/>
      <c r="HA86" s="65"/>
      <c r="HB86" s="13"/>
      <c r="HC86" s="14"/>
      <c r="HE86" s="65"/>
      <c r="HF86" s="13"/>
      <c r="HG86" s="14"/>
      <c r="HI86" s="65"/>
      <c r="HJ86" s="13"/>
      <c r="HK86" s="14"/>
      <c r="HM86" s="65"/>
      <c r="HN86" s="13"/>
      <c r="HO86" s="14"/>
      <c r="HQ86" s="65"/>
      <c r="HR86" s="13"/>
      <c r="HS86" s="14"/>
      <c r="HU86" s="65"/>
      <c r="HV86" s="13"/>
      <c r="HW86" s="14"/>
      <c r="HY86" s="65"/>
      <c r="HZ86" s="13"/>
      <c r="IA86" s="14"/>
      <c r="IC86" s="65"/>
      <c r="ID86" s="13"/>
      <c r="IE86" s="14"/>
      <c r="IG86" s="65"/>
      <c r="IH86" s="13"/>
      <c r="II86" s="14"/>
      <c r="IK86" s="65"/>
      <c r="IL86" s="13"/>
      <c r="IM86" s="14"/>
      <c r="IO86" s="65"/>
      <c r="IP86" s="13"/>
      <c r="IQ86" s="14"/>
      <c r="IS86" s="65"/>
      <c r="IT86" s="13"/>
      <c r="IU86" s="14"/>
      <c r="IW86" s="65"/>
      <c r="IX86" s="13"/>
      <c r="IY86" s="14"/>
      <c r="JA86" s="65"/>
      <c r="JB86" s="13"/>
      <c r="JC86" s="14"/>
      <c r="JE86" s="65"/>
      <c r="JF86" s="13"/>
      <c r="JG86" s="14"/>
      <c r="JI86" s="65"/>
      <c r="JJ86" s="13"/>
      <c r="JK86" s="14"/>
      <c r="JM86" s="65"/>
      <c r="JN86" s="13"/>
      <c r="JO86" s="14"/>
      <c r="JQ86" s="65"/>
      <c r="JR86" s="13"/>
      <c r="JS86" s="14"/>
      <c r="JU86" s="65"/>
      <c r="JV86" s="13"/>
      <c r="JW86" s="14"/>
      <c r="JY86" s="65"/>
      <c r="JZ86" s="13"/>
      <c r="KA86" s="14"/>
      <c r="KC86" s="65"/>
      <c r="KD86" s="13"/>
      <c r="KE86" s="14"/>
      <c r="KG86" s="65"/>
      <c r="KH86" s="13"/>
      <c r="KI86" s="14"/>
      <c r="KK86" s="65"/>
      <c r="KL86" s="13"/>
      <c r="KM86" s="14"/>
      <c r="KO86" s="65"/>
      <c r="KP86" s="13"/>
      <c r="KQ86" s="14"/>
      <c r="KS86" s="65"/>
      <c r="KT86" s="13"/>
      <c r="KU86" s="14"/>
      <c r="KW86" s="65"/>
      <c r="KX86" s="13"/>
      <c r="KY86" s="14"/>
      <c r="LA86" s="65">
        <f t="shared" si="190"/>
        <v>1</v>
      </c>
      <c r="LB86" s="13">
        <f t="shared" si="180"/>
        <v>2642241.6924488121</v>
      </c>
      <c r="LC86" s="14">
        <v>43263</v>
      </c>
      <c r="LE86" s="65"/>
      <c r="LF86" s="13"/>
      <c r="LG86" s="14"/>
      <c r="LI86" s="65"/>
      <c r="LJ86" s="13"/>
      <c r="LK86" s="14"/>
      <c r="LM86" s="65"/>
      <c r="LN86" s="13"/>
      <c r="LO86" s="14"/>
      <c r="LQ86" s="65"/>
      <c r="LR86" s="13"/>
      <c r="LS86" s="14"/>
      <c r="LU86" s="65"/>
      <c r="LV86" s="13"/>
      <c r="LW86" s="14"/>
      <c r="LY86" s="65"/>
      <c r="LZ86" s="13"/>
      <c r="MA86" s="14"/>
      <c r="MC86" s="65"/>
      <c r="MD86" s="13"/>
      <c r="ME86" s="14"/>
      <c r="MG86" s="65"/>
      <c r="MH86" s="13"/>
      <c r="MI86" s="14"/>
      <c r="MK86" s="65"/>
      <c r="ML86" s="13"/>
      <c r="MM86" s="14"/>
      <c r="MO86" s="65"/>
      <c r="MP86" s="13"/>
      <c r="MQ86" s="14"/>
      <c r="MS86" s="65"/>
      <c r="MT86" s="13"/>
      <c r="MU86" s="14"/>
    </row>
    <row r="87" spans="1:359" x14ac:dyDescent="0.25">
      <c r="A87" s="15">
        <f t="shared" si="171"/>
        <v>733601.02861665888</v>
      </c>
      <c r="B87" s="20">
        <v>42781</v>
      </c>
      <c r="D87" s="12">
        <v>89</v>
      </c>
      <c r="E87" s="12">
        <v>1141739.2712925519</v>
      </c>
      <c r="F87" s="14">
        <v>42511</v>
      </c>
      <c r="I87" s="12"/>
      <c r="J87" s="13"/>
      <c r="K87" s="14"/>
      <c r="N87" s="12">
        <f t="shared" si="182"/>
        <v>19</v>
      </c>
      <c r="O87" s="13">
        <f t="shared" si="172"/>
        <v>733601.02861665888</v>
      </c>
      <c r="P87" s="14">
        <v>42781</v>
      </c>
      <c r="T87" s="15"/>
      <c r="U87" s="20"/>
      <c r="W87" s="12"/>
      <c r="X87" s="12"/>
      <c r="Y87" s="14"/>
      <c r="AB87" s="12"/>
      <c r="AC87" s="13"/>
      <c r="AD87" s="14"/>
      <c r="AG87" s="12"/>
      <c r="AH87" s="13"/>
      <c r="AI87" s="14"/>
      <c r="AK87" s="12"/>
      <c r="AL87" s="13"/>
      <c r="AM87" s="14"/>
      <c r="CK87" s="65"/>
      <c r="CL87" s="13"/>
      <c r="CO87" s="65"/>
      <c r="CP87" s="13"/>
      <c r="CS87" s="65"/>
      <c r="CT87" s="13"/>
      <c r="CW87" s="65"/>
      <c r="CX87" s="13"/>
      <c r="DA87" s="65"/>
      <c r="DB87" s="13"/>
      <c r="DE87" s="65"/>
      <c r="DF87" s="13"/>
      <c r="DI87" s="65"/>
      <c r="DJ87" s="13"/>
      <c r="DM87" s="65"/>
      <c r="DN87" s="13"/>
      <c r="DQ87" s="65"/>
      <c r="DR87" s="13"/>
      <c r="DU87" s="65">
        <f t="shared" si="184"/>
        <v>13</v>
      </c>
      <c r="DV87" s="13">
        <f t="shared" si="174"/>
        <v>2337131.8766093263</v>
      </c>
      <c r="DW87" s="14">
        <v>43089</v>
      </c>
      <c r="DY87" s="65">
        <f t="shared" si="185"/>
        <v>24</v>
      </c>
      <c r="DZ87" s="13">
        <f t="shared" si="175"/>
        <v>794479.93367213826</v>
      </c>
      <c r="EA87" s="14">
        <v>43092</v>
      </c>
      <c r="EC87" s="65"/>
      <c r="ED87" s="13"/>
      <c r="EE87" s="14"/>
      <c r="EG87" s="65"/>
      <c r="EH87" s="13"/>
      <c r="EI87" s="14"/>
      <c r="EK87" s="65"/>
      <c r="EL87" s="13"/>
      <c r="EM87" s="14"/>
      <c r="EO87" s="65"/>
      <c r="EP87" s="13"/>
      <c r="EQ87" s="14"/>
      <c r="ES87" s="65"/>
      <c r="ET87" s="13"/>
      <c r="EU87" s="14"/>
      <c r="EW87" s="65"/>
      <c r="EX87" s="13"/>
      <c r="EY87" s="14"/>
      <c r="FA87" s="65"/>
      <c r="FB87" s="13"/>
      <c r="FC87" s="14"/>
      <c r="FE87" s="65"/>
      <c r="FF87" s="13"/>
      <c r="FG87" s="14"/>
      <c r="FI87" s="65"/>
      <c r="FJ87" s="13"/>
      <c r="FK87" s="14"/>
      <c r="FM87" s="65"/>
      <c r="FN87" s="13"/>
      <c r="FO87" s="14"/>
      <c r="FQ87" s="65"/>
      <c r="FR87" s="13"/>
      <c r="FS87" s="14"/>
      <c r="FU87" s="65"/>
      <c r="FV87" s="13"/>
      <c r="FW87" s="14"/>
      <c r="FY87" s="65"/>
      <c r="FZ87" s="13"/>
      <c r="GA87" s="14"/>
      <c r="GC87" s="65"/>
      <c r="GD87" s="13"/>
      <c r="GE87" s="14"/>
      <c r="GG87" s="65"/>
      <c r="GH87" s="13"/>
      <c r="GI87" s="14"/>
      <c r="GK87" s="65"/>
      <c r="GL87" s="13"/>
      <c r="GM87" s="14"/>
      <c r="GO87" s="65"/>
      <c r="GP87" s="13"/>
      <c r="GQ87" s="14"/>
      <c r="GS87" s="65"/>
      <c r="GT87" s="13"/>
      <c r="GU87" s="14"/>
      <c r="GW87" s="65"/>
      <c r="GX87" s="13"/>
      <c r="GY87" s="14"/>
      <c r="HA87" s="65"/>
      <c r="HB87" s="13"/>
      <c r="HC87" s="14"/>
      <c r="HE87" s="65"/>
      <c r="HF87" s="13"/>
      <c r="HG87" s="14"/>
      <c r="HI87" s="65"/>
      <c r="HJ87" s="13"/>
      <c r="HK87" s="14"/>
      <c r="HM87" s="65"/>
      <c r="HN87" s="13"/>
      <c r="HO87" s="14"/>
      <c r="HQ87" s="65"/>
      <c r="HR87" s="13"/>
      <c r="HS87" s="14"/>
      <c r="HU87" s="65"/>
      <c r="HV87" s="13"/>
      <c r="HW87" s="14"/>
      <c r="HY87" s="65"/>
      <c r="HZ87" s="13"/>
      <c r="IA87" s="14"/>
      <c r="IC87" s="65"/>
      <c r="ID87" s="13"/>
      <c r="IE87" s="14"/>
      <c r="IG87" s="65"/>
      <c r="IH87" s="13"/>
      <c r="II87" s="14"/>
      <c r="IK87" s="65"/>
      <c r="IL87" s="13"/>
      <c r="IM87" s="14"/>
      <c r="IO87" s="65"/>
      <c r="IP87" s="13"/>
      <c r="IQ87" s="14"/>
      <c r="IS87" s="65"/>
      <c r="IT87" s="13"/>
      <c r="IU87" s="14"/>
      <c r="IW87" s="65"/>
      <c r="IX87" s="13"/>
      <c r="IY87" s="14"/>
      <c r="JA87" s="65"/>
      <c r="JB87" s="13"/>
      <c r="JC87" s="14"/>
      <c r="JE87" s="65"/>
      <c r="JF87" s="13"/>
      <c r="JG87" s="14"/>
      <c r="JI87" s="65"/>
      <c r="JJ87" s="13"/>
      <c r="JK87" s="14"/>
      <c r="JM87" s="65"/>
      <c r="JN87" s="13"/>
      <c r="JO87" s="14"/>
      <c r="JQ87" s="65"/>
      <c r="JR87" s="13"/>
      <c r="JS87" s="14"/>
      <c r="JU87" s="65"/>
      <c r="JV87" s="13"/>
      <c r="JW87" s="14"/>
      <c r="JY87" s="65"/>
      <c r="JZ87" s="13"/>
      <c r="KA87" s="14"/>
      <c r="KC87" s="65"/>
      <c r="KD87" s="13"/>
      <c r="KE87" s="14"/>
      <c r="KG87" s="65"/>
      <c r="KH87" s="13"/>
      <c r="KI87" s="14"/>
      <c r="KK87" s="65"/>
      <c r="KL87" s="13"/>
      <c r="KM87" s="14"/>
      <c r="KO87" s="65"/>
      <c r="KP87" s="13"/>
      <c r="KQ87" s="14"/>
      <c r="KS87" s="65"/>
      <c r="KT87" s="13"/>
      <c r="KU87" s="14"/>
      <c r="KW87" s="65"/>
      <c r="KX87" s="13"/>
      <c r="KY87" s="14"/>
      <c r="LA87" s="65">
        <f t="shared" si="190"/>
        <v>0</v>
      </c>
      <c r="LB87" s="13">
        <f t="shared" si="180"/>
        <v>2642444.2643118999</v>
      </c>
      <c r="LC87" s="14">
        <v>43264</v>
      </c>
      <c r="LE87" s="65"/>
      <c r="LF87" s="13"/>
      <c r="LG87" s="14"/>
      <c r="LI87" s="65"/>
      <c r="LJ87" s="13"/>
      <c r="LK87" s="14"/>
      <c r="LM87" s="65"/>
      <c r="LN87" s="13"/>
      <c r="LO87" s="14"/>
      <c r="LQ87" s="65"/>
      <c r="LR87" s="13"/>
      <c r="LS87" s="14"/>
      <c r="LU87" s="65"/>
      <c r="LV87" s="13"/>
      <c r="LW87" s="14"/>
      <c r="LY87" s="65"/>
      <c r="LZ87" s="13"/>
      <c r="MA87" s="14"/>
      <c r="MC87" s="65"/>
      <c r="MD87" s="13"/>
      <c r="ME87" s="14"/>
      <c r="MG87" s="65"/>
      <c r="MH87" s="13"/>
      <c r="MI87" s="14"/>
      <c r="MK87" s="65"/>
      <c r="ML87" s="13"/>
      <c r="MM87" s="14"/>
      <c r="MO87" s="65"/>
      <c r="MP87" s="13"/>
      <c r="MQ87" s="14"/>
      <c r="MS87" s="65"/>
      <c r="MT87" s="13"/>
      <c r="MU87" s="14"/>
    </row>
    <row r="88" spans="1:359" x14ac:dyDescent="0.25">
      <c r="A88" s="15">
        <f t="shared" si="171"/>
        <v>733630.45271114039</v>
      </c>
      <c r="B88" s="20">
        <v>42782</v>
      </c>
      <c r="D88" s="12">
        <v>88</v>
      </c>
      <c r="E88" s="12">
        <v>1141766.4668500873</v>
      </c>
      <c r="F88" s="14">
        <v>42512</v>
      </c>
      <c r="I88" s="12"/>
      <c r="J88" s="13"/>
      <c r="K88" s="14"/>
      <c r="N88" s="12">
        <f t="shared" si="182"/>
        <v>18</v>
      </c>
      <c r="O88" s="13">
        <f t="shared" si="172"/>
        <v>733630.45271114039</v>
      </c>
      <c r="P88" s="14">
        <v>42782</v>
      </c>
      <c r="T88" s="15"/>
      <c r="U88" s="20"/>
      <c r="W88" s="12"/>
      <c r="X88" s="12"/>
      <c r="Y88" s="14"/>
      <c r="AB88" s="12"/>
      <c r="AC88" s="13"/>
      <c r="AD88" s="14"/>
      <c r="AG88" s="12"/>
      <c r="AH88" s="13"/>
      <c r="AI88" s="14"/>
      <c r="AK88" s="12"/>
      <c r="AL88" s="13"/>
      <c r="AM88" s="14"/>
      <c r="CK88" s="65"/>
      <c r="CL88" s="13"/>
      <c r="CO88" s="65"/>
      <c r="CP88" s="13"/>
      <c r="CS88" s="65"/>
      <c r="CT88" s="13"/>
      <c r="CW88" s="65"/>
      <c r="CX88" s="13"/>
      <c r="DA88" s="65"/>
      <c r="DB88" s="13"/>
      <c r="DE88" s="65"/>
      <c r="DF88" s="13"/>
      <c r="DI88" s="65"/>
      <c r="DJ88" s="13"/>
      <c r="DM88" s="65"/>
      <c r="DN88" s="13"/>
      <c r="DQ88" s="65"/>
      <c r="DR88" s="13"/>
      <c r="DU88" s="65">
        <f t="shared" si="184"/>
        <v>12</v>
      </c>
      <c r="DV88" s="13">
        <f t="shared" si="174"/>
        <v>2337247.3745531882</v>
      </c>
      <c r="DW88" s="14">
        <v>43090</v>
      </c>
      <c r="DY88" s="65">
        <f t="shared" si="185"/>
        <v>23</v>
      </c>
      <c r="DZ88" s="13">
        <f t="shared" si="175"/>
        <v>794521.62203720084</v>
      </c>
      <c r="EA88" s="14">
        <v>43093</v>
      </c>
      <c r="EC88" s="65"/>
      <c r="ED88" s="13"/>
      <c r="EE88" s="14"/>
      <c r="EG88" s="65"/>
      <c r="EH88" s="13"/>
      <c r="EI88" s="14"/>
      <c r="EK88" s="65"/>
      <c r="EL88" s="13"/>
      <c r="EM88" s="14"/>
      <c r="EO88" s="65"/>
      <c r="EP88" s="13"/>
      <c r="EQ88" s="14"/>
      <c r="ES88" s="65"/>
      <c r="ET88" s="13"/>
      <c r="EU88" s="14"/>
      <c r="EW88" s="65"/>
      <c r="EX88" s="13"/>
      <c r="EY88" s="14"/>
      <c r="FA88" s="65"/>
      <c r="FB88" s="13"/>
      <c r="FC88" s="14"/>
      <c r="FE88" s="65"/>
      <c r="FF88" s="13"/>
      <c r="FG88" s="14"/>
      <c r="FI88" s="65"/>
      <c r="FJ88" s="13"/>
      <c r="FK88" s="14"/>
      <c r="FM88" s="65"/>
      <c r="FN88" s="13"/>
      <c r="FO88" s="14"/>
      <c r="FQ88" s="65"/>
      <c r="FR88" s="13"/>
      <c r="FS88" s="14"/>
      <c r="FU88" s="65"/>
      <c r="FV88" s="13"/>
      <c r="FW88" s="14"/>
      <c r="FY88" s="65"/>
      <c r="FZ88" s="13"/>
      <c r="GA88" s="14"/>
      <c r="GC88" s="65"/>
      <c r="GD88" s="13"/>
      <c r="GE88" s="14"/>
      <c r="GG88" s="65"/>
      <c r="GH88" s="13"/>
      <c r="GI88" s="14"/>
      <c r="GK88" s="65"/>
      <c r="GL88" s="13"/>
      <c r="GM88" s="14"/>
      <c r="GO88" s="65"/>
      <c r="GP88" s="13"/>
      <c r="GQ88" s="14"/>
      <c r="GS88" s="65"/>
      <c r="GT88" s="13"/>
      <c r="GU88" s="14"/>
      <c r="GW88" s="65"/>
      <c r="GX88" s="13"/>
      <c r="GY88" s="14"/>
      <c r="HA88" s="65"/>
      <c r="HB88" s="13"/>
      <c r="HC88" s="14"/>
      <c r="HE88" s="65"/>
      <c r="HF88" s="13"/>
      <c r="HG88" s="14"/>
      <c r="HI88" s="65"/>
      <c r="HJ88" s="13"/>
      <c r="HK88" s="14"/>
      <c r="HM88" s="65"/>
      <c r="HN88" s="13"/>
      <c r="HO88" s="14"/>
      <c r="HQ88" s="65"/>
      <c r="HR88" s="13"/>
      <c r="HS88" s="14"/>
      <c r="HU88" s="65"/>
      <c r="HV88" s="13"/>
      <c r="HW88" s="14"/>
      <c r="HY88" s="65"/>
      <c r="HZ88" s="13"/>
      <c r="IA88" s="14"/>
      <c r="IC88" s="65"/>
      <c r="ID88" s="13"/>
      <c r="IE88" s="14"/>
      <c r="IG88" s="65"/>
      <c r="IH88" s="13"/>
      <c r="II88" s="14"/>
      <c r="IK88" s="65"/>
      <c r="IL88" s="13"/>
      <c r="IM88" s="14"/>
      <c r="IO88" s="65"/>
      <c r="IP88" s="13"/>
      <c r="IQ88" s="14"/>
      <c r="IS88" s="65"/>
      <c r="IT88" s="13"/>
      <c r="IU88" s="14"/>
      <c r="IW88" s="65"/>
      <c r="IX88" s="13"/>
      <c r="IY88" s="14"/>
      <c r="JA88" s="65"/>
      <c r="JB88" s="13"/>
      <c r="JC88" s="14"/>
      <c r="JE88" s="65"/>
      <c r="JF88" s="13"/>
      <c r="JG88" s="14"/>
      <c r="JI88" s="65"/>
      <c r="JJ88" s="13"/>
      <c r="JK88" s="14"/>
      <c r="JM88" s="65"/>
      <c r="JN88" s="13"/>
      <c r="JO88" s="14"/>
      <c r="JQ88" s="65"/>
      <c r="JR88" s="13"/>
      <c r="JS88" s="14"/>
      <c r="JU88" s="65"/>
      <c r="JV88" s="13"/>
      <c r="JW88" s="14"/>
      <c r="JY88" s="65"/>
      <c r="JZ88" s="13"/>
      <c r="KA88" s="14"/>
      <c r="KC88" s="65"/>
      <c r="KD88" s="13"/>
      <c r="KE88" s="14"/>
      <c r="KG88" s="65"/>
      <c r="KH88" s="13"/>
      <c r="KI88" s="14"/>
      <c r="KK88" s="65"/>
      <c r="KL88" s="13"/>
      <c r="KM88" s="14"/>
      <c r="KO88" s="65"/>
      <c r="KP88" s="13"/>
      <c r="KQ88" s="14"/>
      <c r="KS88" s="65"/>
      <c r="KT88" s="13"/>
      <c r="KU88" s="14"/>
      <c r="KW88" s="65"/>
      <c r="KX88" s="13"/>
      <c r="KY88" s="14"/>
      <c r="LA88" s="65"/>
      <c r="LB88" s="13"/>
      <c r="LC88" s="14"/>
      <c r="LE88" s="65"/>
      <c r="LF88" s="13"/>
      <c r="LG88" s="14"/>
      <c r="LI88" s="65"/>
      <c r="LJ88" s="13"/>
      <c r="LK88" s="14"/>
      <c r="LM88" s="65"/>
      <c r="LN88" s="13"/>
      <c r="LO88" s="14"/>
      <c r="LQ88" s="65"/>
      <c r="LR88" s="13"/>
      <c r="LS88" s="14"/>
      <c r="LU88" s="65"/>
      <c r="LV88" s="13"/>
      <c r="LW88" s="14"/>
      <c r="LY88" s="65"/>
      <c r="LZ88" s="13"/>
      <c r="MA88" s="14"/>
      <c r="MC88" s="65"/>
      <c r="MD88" s="13"/>
      <c r="ME88" s="14"/>
      <c r="MG88" s="65"/>
      <c r="MH88" s="13"/>
      <c r="MI88" s="14"/>
      <c r="MK88" s="65"/>
      <c r="ML88" s="13"/>
      <c r="MM88" s="14"/>
      <c r="MO88" s="65"/>
      <c r="MP88" s="13"/>
      <c r="MQ88" s="14"/>
      <c r="MS88" s="65"/>
      <c r="MT88" s="13"/>
      <c r="MU88" s="14"/>
    </row>
    <row r="89" spans="1:359" x14ac:dyDescent="0.25">
      <c r="A89" s="15">
        <f t="shared" si="171"/>
        <v>733659.8791660656</v>
      </c>
      <c r="B89" s="20">
        <v>42783</v>
      </c>
      <c r="D89" s="12">
        <v>87</v>
      </c>
      <c r="E89" s="12">
        <v>1141793.6637032179</v>
      </c>
      <c r="F89" s="14">
        <v>42513</v>
      </c>
      <c r="I89" s="12"/>
      <c r="J89" s="13"/>
      <c r="K89" s="14"/>
      <c r="N89" s="12">
        <f t="shared" si="182"/>
        <v>17</v>
      </c>
      <c r="O89" s="13">
        <f t="shared" si="172"/>
        <v>733659.8791660656</v>
      </c>
      <c r="P89" s="14">
        <v>42783</v>
      </c>
      <c r="T89" s="15"/>
      <c r="U89" s="20"/>
      <c r="W89" s="12"/>
      <c r="X89" s="12"/>
      <c r="Y89" s="14"/>
      <c r="AB89" s="12"/>
      <c r="AC89" s="13"/>
      <c r="AD89" s="14"/>
      <c r="AG89" s="12"/>
      <c r="AH89" s="13"/>
      <c r="AI89" s="14"/>
      <c r="AK89" s="12"/>
      <c r="AL89" s="13"/>
      <c r="AM89" s="14"/>
      <c r="CK89" s="65"/>
      <c r="CL89" s="13"/>
      <c r="CO89" s="65"/>
      <c r="CP89" s="13"/>
      <c r="CS89" s="65"/>
      <c r="CT89" s="13"/>
      <c r="CW89" s="65"/>
      <c r="CX89" s="13"/>
      <c r="DA89" s="65"/>
      <c r="DB89" s="13"/>
      <c r="DE89" s="65"/>
      <c r="DF89" s="13"/>
      <c r="DI89" s="65"/>
      <c r="DJ89" s="13"/>
      <c r="DM89" s="65"/>
      <c r="DN89" s="13"/>
      <c r="DQ89" s="65"/>
      <c r="DR89" s="13"/>
      <c r="DU89" s="65">
        <f t="shared" si="184"/>
        <v>11</v>
      </c>
      <c r="DV89" s="13">
        <f t="shared" si="174"/>
        <v>2337362.883913124</v>
      </c>
      <c r="DW89" s="14">
        <v>43091</v>
      </c>
      <c r="DY89" s="65">
        <f t="shared" si="185"/>
        <v>22</v>
      </c>
      <c r="DZ89" s="13">
        <f t="shared" si="175"/>
        <v>794563.31477748032</v>
      </c>
      <c r="EA89" s="14">
        <v>43094</v>
      </c>
      <c r="EC89" s="65"/>
      <c r="ED89" s="13"/>
      <c r="EE89" s="14"/>
      <c r="EG89" s="65"/>
      <c r="EH89" s="13"/>
      <c r="EI89" s="14"/>
      <c r="EK89" s="65"/>
      <c r="EL89" s="13"/>
      <c r="EM89" s="14"/>
      <c r="EO89" s="65"/>
      <c r="EP89" s="13"/>
      <c r="EQ89" s="14"/>
      <c r="ES89" s="65"/>
      <c r="ET89" s="13"/>
      <c r="EU89" s="14"/>
      <c r="EW89" s="65"/>
      <c r="EX89" s="13"/>
      <c r="EY89" s="14"/>
      <c r="FA89" s="65"/>
      <c r="FB89" s="13"/>
      <c r="FC89" s="14"/>
      <c r="FE89" s="65"/>
      <c r="FF89" s="13"/>
      <c r="FG89" s="14"/>
      <c r="FI89" s="65"/>
      <c r="FJ89" s="13"/>
      <c r="FK89" s="14"/>
      <c r="FM89" s="65"/>
      <c r="FN89" s="13"/>
      <c r="FO89" s="14"/>
      <c r="FQ89" s="65"/>
      <c r="FR89" s="13"/>
      <c r="FS89" s="14"/>
      <c r="FU89" s="65"/>
      <c r="FV89" s="13"/>
      <c r="FW89" s="14"/>
      <c r="FY89" s="65"/>
      <c r="FZ89" s="13"/>
      <c r="GA89" s="14"/>
      <c r="GC89" s="65"/>
      <c r="GD89" s="13"/>
      <c r="GE89" s="14"/>
      <c r="GG89" s="65"/>
      <c r="GH89" s="13"/>
      <c r="GI89" s="14"/>
      <c r="GK89" s="65"/>
      <c r="GL89" s="13"/>
      <c r="GM89" s="14"/>
      <c r="GO89" s="65"/>
      <c r="GP89" s="13"/>
      <c r="GQ89" s="14"/>
      <c r="GS89" s="65"/>
      <c r="GT89" s="13"/>
      <c r="GU89" s="14"/>
      <c r="GW89" s="65"/>
      <c r="GX89" s="13"/>
      <c r="GY89" s="14"/>
      <c r="HA89" s="65"/>
      <c r="HB89" s="13"/>
      <c r="HC89" s="14"/>
      <c r="HE89" s="65"/>
      <c r="HF89" s="13"/>
      <c r="HG89" s="14"/>
      <c r="HI89" s="65"/>
      <c r="HJ89" s="13"/>
      <c r="HK89" s="14"/>
      <c r="HM89" s="65"/>
      <c r="HN89" s="13"/>
      <c r="HO89" s="14"/>
      <c r="HQ89" s="65"/>
      <c r="HR89" s="13"/>
      <c r="HS89" s="14"/>
      <c r="HU89" s="65"/>
      <c r="HV89" s="13"/>
      <c r="HW89" s="14"/>
      <c r="HY89" s="65"/>
      <c r="HZ89" s="13"/>
      <c r="IA89" s="14"/>
      <c r="IC89" s="65"/>
      <c r="ID89" s="13"/>
      <c r="IE89" s="14"/>
      <c r="IG89" s="65"/>
      <c r="IH89" s="13"/>
      <c r="II89" s="14"/>
      <c r="IK89" s="65"/>
      <c r="IL89" s="13"/>
      <c r="IM89" s="14"/>
      <c r="IO89" s="65"/>
      <c r="IP89" s="13"/>
      <c r="IQ89" s="14"/>
      <c r="IS89" s="65"/>
      <c r="IT89" s="13"/>
      <c r="IU89" s="14"/>
      <c r="IW89" s="65"/>
      <c r="IX89" s="13"/>
      <c r="IY89" s="14"/>
      <c r="JA89" s="65"/>
      <c r="JB89" s="13"/>
      <c r="JC89" s="14"/>
      <c r="JE89" s="65"/>
      <c r="JF89" s="13"/>
      <c r="JG89" s="14"/>
      <c r="JI89" s="65"/>
      <c r="JJ89" s="13"/>
      <c r="JK89" s="14"/>
      <c r="JM89" s="65"/>
      <c r="JN89" s="13"/>
      <c r="JO89" s="14"/>
      <c r="JQ89" s="65"/>
      <c r="JR89" s="13"/>
      <c r="JS89" s="14"/>
      <c r="JU89" s="65"/>
      <c r="JV89" s="13"/>
      <c r="JW89" s="14"/>
      <c r="JY89" s="65"/>
      <c r="JZ89" s="13"/>
      <c r="KA89" s="14"/>
      <c r="KC89" s="65"/>
      <c r="KD89" s="13"/>
      <c r="KE89" s="14"/>
      <c r="KG89" s="65"/>
      <c r="KH89" s="13"/>
      <c r="KI89" s="14"/>
      <c r="KK89" s="65"/>
      <c r="KL89" s="13"/>
      <c r="KM89" s="14"/>
      <c r="KO89" s="65"/>
      <c r="KP89" s="13"/>
      <c r="KQ89" s="14"/>
      <c r="KS89" s="65"/>
      <c r="KT89" s="13"/>
      <c r="KU89" s="14"/>
      <c r="KW89" s="65"/>
      <c r="KX89" s="13"/>
      <c r="KY89" s="14"/>
      <c r="LA89" s="65"/>
      <c r="LB89" s="13"/>
      <c r="LC89" s="14"/>
      <c r="LE89" s="65"/>
      <c r="LF89" s="13"/>
      <c r="LG89" s="14"/>
      <c r="LI89" s="65"/>
      <c r="LJ89" s="13"/>
      <c r="LK89" s="14"/>
      <c r="LM89" s="65"/>
      <c r="LN89" s="13"/>
      <c r="LO89" s="14"/>
      <c r="LQ89" s="65"/>
      <c r="LR89" s="13"/>
      <c r="LS89" s="14"/>
      <c r="LU89" s="65"/>
      <c r="LV89" s="13"/>
      <c r="LW89" s="14"/>
      <c r="LY89" s="65"/>
      <c r="LZ89" s="13"/>
      <c r="MA89" s="14"/>
      <c r="MC89" s="65"/>
      <c r="MD89" s="13"/>
      <c r="ME89" s="14"/>
      <c r="MG89" s="65"/>
      <c r="MH89" s="13"/>
      <c r="MI89" s="14"/>
      <c r="MK89" s="65"/>
      <c r="ML89" s="13"/>
      <c r="MM89" s="14"/>
      <c r="MO89" s="65"/>
      <c r="MP89" s="13"/>
      <c r="MQ89" s="14"/>
      <c r="MS89" s="65"/>
      <c r="MT89" s="13"/>
      <c r="MU89" s="14"/>
    </row>
    <row r="90" spans="1:359" x14ac:dyDescent="0.25">
      <c r="A90" s="15">
        <f t="shared" si="171"/>
        <v>733689.3079817188</v>
      </c>
      <c r="B90" s="20">
        <v>42784</v>
      </c>
      <c r="D90" s="12">
        <v>86</v>
      </c>
      <c r="E90" s="12">
        <v>1141820.8618520361</v>
      </c>
      <c r="F90" s="14">
        <v>42514</v>
      </c>
      <c r="I90" s="12"/>
      <c r="J90" s="13"/>
      <c r="K90" s="14"/>
      <c r="N90" s="12">
        <f t="shared" si="182"/>
        <v>16</v>
      </c>
      <c r="O90" s="13">
        <f t="shared" si="172"/>
        <v>733689.3079817188</v>
      </c>
      <c r="P90" s="14">
        <v>42784</v>
      </c>
      <c r="T90" s="15"/>
      <c r="U90" s="20"/>
      <c r="W90" s="12"/>
      <c r="X90" s="12"/>
      <c r="Y90" s="14"/>
      <c r="AB90" s="12"/>
      <c r="AC90" s="13"/>
      <c r="AD90" s="14"/>
      <c r="AG90" s="12"/>
      <c r="AH90" s="13"/>
      <c r="AI90" s="14"/>
      <c r="AK90" s="12"/>
      <c r="AL90" s="13"/>
      <c r="AM90" s="14"/>
      <c r="CK90" s="65"/>
      <c r="CL90" s="13"/>
      <c r="CO90" s="65"/>
      <c r="CP90" s="13"/>
      <c r="CS90" s="65"/>
      <c r="CT90" s="13"/>
      <c r="CW90" s="65"/>
      <c r="CX90" s="13"/>
      <c r="DA90" s="65"/>
      <c r="DB90" s="13"/>
      <c r="DE90" s="65"/>
      <c r="DF90" s="13"/>
      <c r="DI90" s="65"/>
      <c r="DJ90" s="13"/>
      <c r="DM90" s="65"/>
      <c r="DN90" s="13"/>
      <c r="DQ90" s="65"/>
      <c r="DR90" s="13"/>
      <c r="DU90" s="65">
        <f t="shared" si="184"/>
        <v>10</v>
      </c>
      <c r="DV90" s="13">
        <f t="shared" si="174"/>
        <v>2337478.4046908249</v>
      </c>
      <c r="DW90" s="14">
        <v>43092</v>
      </c>
      <c r="DY90" s="65">
        <f t="shared" si="185"/>
        <v>21</v>
      </c>
      <c r="DZ90" s="13">
        <f t="shared" si="175"/>
        <v>794605.01189366519</v>
      </c>
      <c r="EA90" s="14">
        <v>43095</v>
      </c>
      <c r="EC90" s="65"/>
      <c r="ED90" s="13"/>
      <c r="EE90" s="14"/>
      <c r="EG90" s="65"/>
      <c r="EH90" s="13"/>
      <c r="EI90" s="14"/>
      <c r="EK90" s="65"/>
      <c r="EL90" s="13"/>
      <c r="EM90" s="14"/>
      <c r="EO90" s="65"/>
      <c r="EP90" s="13"/>
      <c r="EQ90" s="14"/>
      <c r="ES90" s="65"/>
      <c r="ET90" s="13"/>
      <c r="EU90" s="14"/>
      <c r="EW90" s="65"/>
      <c r="EX90" s="13"/>
      <c r="EY90" s="14"/>
      <c r="FA90" s="65"/>
      <c r="FB90" s="13"/>
      <c r="FC90" s="14"/>
      <c r="FE90" s="65"/>
      <c r="FF90" s="13"/>
      <c r="FG90" s="14"/>
      <c r="FI90" s="65"/>
      <c r="FJ90" s="13"/>
      <c r="FK90" s="14"/>
      <c r="FM90" s="65"/>
      <c r="FN90" s="13"/>
      <c r="FO90" s="14"/>
      <c r="FQ90" s="65"/>
      <c r="FR90" s="13"/>
      <c r="FS90" s="14"/>
      <c r="FU90" s="65"/>
      <c r="FV90" s="13"/>
      <c r="FW90" s="14"/>
      <c r="FY90" s="65"/>
      <c r="FZ90" s="13"/>
      <c r="GA90" s="14"/>
      <c r="GC90" s="65"/>
      <c r="GD90" s="13"/>
      <c r="GE90" s="14"/>
      <c r="GG90" s="65"/>
      <c r="GH90" s="13"/>
      <c r="GI90" s="14"/>
      <c r="GK90" s="65"/>
      <c r="GL90" s="13"/>
      <c r="GM90" s="14"/>
      <c r="GO90" s="65"/>
      <c r="GP90" s="13"/>
      <c r="GQ90" s="14"/>
      <c r="GS90" s="65"/>
      <c r="GT90" s="13"/>
      <c r="GU90" s="14"/>
      <c r="GW90" s="65"/>
      <c r="GX90" s="13"/>
      <c r="GY90" s="14"/>
      <c r="HA90" s="65"/>
      <c r="HB90" s="13"/>
      <c r="HC90" s="14"/>
      <c r="HE90" s="65"/>
      <c r="HF90" s="13"/>
      <c r="HG90" s="14"/>
      <c r="HI90" s="65"/>
      <c r="HJ90" s="13"/>
      <c r="HK90" s="14"/>
      <c r="HM90" s="65"/>
      <c r="HN90" s="13"/>
      <c r="HO90" s="14"/>
      <c r="HQ90" s="65"/>
      <c r="HR90" s="13"/>
      <c r="HS90" s="14"/>
      <c r="HU90" s="65"/>
      <c r="HV90" s="13"/>
      <c r="HW90" s="14"/>
      <c r="HY90" s="65"/>
      <c r="HZ90" s="13"/>
      <c r="IA90" s="14"/>
      <c r="IC90" s="65"/>
      <c r="ID90" s="13"/>
      <c r="IE90" s="14"/>
      <c r="IG90" s="65"/>
      <c r="IH90" s="13"/>
      <c r="II90" s="14"/>
      <c r="IK90" s="65"/>
      <c r="IL90" s="13"/>
      <c r="IM90" s="14"/>
      <c r="IO90" s="65"/>
      <c r="IP90" s="13"/>
      <c r="IQ90" s="14"/>
      <c r="IS90" s="65"/>
      <c r="IT90" s="13"/>
      <c r="IU90" s="14"/>
      <c r="IW90" s="65"/>
      <c r="IX90" s="13"/>
      <c r="IY90" s="14"/>
      <c r="JA90" s="65"/>
      <c r="JB90" s="13"/>
      <c r="JC90" s="14"/>
      <c r="JE90" s="65"/>
      <c r="JF90" s="13"/>
      <c r="JG90" s="14"/>
      <c r="JI90" s="65"/>
      <c r="JJ90" s="13"/>
      <c r="JK90" s="14"/>
      <c r="JM90" s="65"/>
      <c r="JN90" s="13"/>
      <c r="JO90" s="14"/>
      <c r="JQ90" s="65"/>
      <c r="JR90" s="13"/>
      <c r="JS90" s="14"/>
      <c r="JU90" s="65"/>
      <c r="JV90" s="13"/>
      <c r="JW90" s="14"/>
      <c r="JY90" s="65"/>
      <c r="JZ90" s="13"/>
      <c r="KA90" s="14"/>
      <c r="KC90" s="65"/>
      <c r="KD90" s="13"/>
      <c r="KE90" s="14"/>
      <c r="KG90" s="65"/>
      <c r="KH90" s="13"/>
      <c r="KI90" s="14"/>
      <c r="KK90" s="65"/>
      <c r="KL90" s="13"/>
      <c r="KM90" s="14"/>
      <c r="KO90" s="65"/>
      <c r="KP90" s="13"/>
      <c r="KQ90" s="14"/>
      <c r="KS90" s="65"/>
      <c r="KT90" s="13"/>
      <c r="KU90" s="14"/>
      <c r="KW90" s="65"/>
      <c r="KX90" s="13"/>
      <c r="KY90" s="14"/>
      <c r="LA90" s="65"/>
      <c r="LB90" s="13"/>
      <c r="LC90" s="14"/>
      <c r="LE90" s="65"/>
      <c r="LF90" s="13"/>
      <c r="LG90" s="14"/>
      <c r="LI90" s="65"/>
      <c r="LJ90" s="13"/>
      <c r="LK90" s="14"/>
      <c r="LM90" s="65"/>
      <c r="LN90" s="13"/>
      <c r="LO90" s="14"/>
      <c r="LQ90" s="65"/>
      <c r="LR90" s="13"/>
      <c r="LS90" s="14"/>
      <c r="LU90" s="65"/>
      <c r="LV90" s="13"/>
      <c r="LW90" s="14"/>
      <c r="LY90" s="65"/>
      <c r="LZ90" s="13"/>
      <c r="MA90" s="14"/>
      <c r="MC90" s="65"/>
      <c r="MD90" s="13"/>
      <c r="ME90" s="14"/>
      <c r="MG90" s="65"/>
      <c r="MH90" s="13"/>
      <c r="MI90" s="14"/>
      <c r="MK90" s="65"/>
      <c r="ML90" s="13"/>
      <c r="MM90" s="14"/>
      <c r="MO90" s="65"/>
      <c r="MP90" s="13"/>
      <c r="MQ90" s="14"/>
      <c r="MS90" s="65"/>
      <c r="MT90" s="13"/>
      <c r="MU90" s="14"/>
    </row>
    <row r="91" spans="1:359" x14ac:dyDescent="0.25">
      <c r="A91" s="15">
        <f t="shared" si="171"/>
        <v>733718.73915838415</v>
      </c>
      <c r="B91" s="20">
        <v>42785</v>
      </c>
      <c r="D91" s="12">
        <v>85</v>
      </c>
      <c r="E91" s="12">
        <v>1141848.0612966351</v>
      </c>
      <c r="F91" s="14">
        <v>42515</v>
      </c>
      <c r="I91" s="12"/>
      <c r="J91" s="13"/>
      <c r="K91" s="14"/>
      <c r="N91" s="12">
        <f t="shared" si="182"/>
        <v>15</v>
      </c>
      <c r="O91" s="13">
        <f t="shared" si="172"/>
        <v>733718.73915838415</v>
      </c>
      <c r="P91" s="14">
        <v>42785</v>
      </c>
      <c r="T91" s="15"/>
      <c r="U91" s="20"/>
      <c r="W91" s="12"/>
      <c r="X91" s="12"/>
      <c r="Y91" s="14"/>
      <c r="AB91" s="12"/>
      <c r="AC91" s="13"/>
      <c r="AD91" s="14"/>
      <c r="AG91" s="12"/>
      <c r="AH91" s="13"/>
      <c r="AI91" s="14"/>
      <c r="AK91" s="12"/>
      <c r="AL91" s="13"/>
      <c r="AM91" s="14"/>
      <c r="CK91" s="65"/>
      <c r="CL91" s="13"/>
      <c r="CO91" s="65"/>
      <c r="CP91" s="13"/>
      <c r="CS91" s="65"/>
      <c r="CT91" s="13"/>
      <c r="CW91" s="65"/>
      <c r="CX91" s="13"/>
      <c r="DA91" s="65"/>
      <c r="DB91" s="13"/>
      <c r="DE91" s="65"/>
      <c r="DF91" s="13"/>
      <c r="DI91" s="65"/>
      <c r="DJ91" s="13"/>
      <c r="DM91" s="65"/>
      <c r="DN91" s="13"/>
      <c r="DQ91" s="65"/>
      <c r="DR91" s="13"/>
      <c r="DU91" s="65">
        <f t="shared" si="184"/>
        <v>9</v>
      </c>
      <c r="DV91" s="13">
        <f t="shared" si="174"/>
        <v>2337593.9368879846</v>
      </c>
      <c r="DW91" s="14">
        <v>43093</v>
      </c>
      <c r="DY91" s="65">
        <f t="shared" si="185"/>
        <v>20</v>
      </c>
      <c r="DZ91" s="13">
        <f t="shared" si="175"/>
        <v>794646.71338644472</v>
      </c>
      <c r="EA91" s="14">
        <v>43096</v>
      </c>
      <c r="EC91" s="65"/>
      <c r="ED91" s="13"/>
      <c r="EE91" s="14"/>
      <c r="EG91" s="65"/>
      <c r="EH91" s="13"/>
      <c r="EI91" s="14"/>
      <c r="EK91" s="65"/>
      <c r="EL91" s="13"/>
      <c r="EM91" s="14"/>
      <c r="EO91" s="65"/>
      <c r="EP91" s="13"/>
      <c r="EQ91" s="14"/>
      <c r="ES91" s="65"/>
      <c r="ET91" s="13"/>
      <c r="EU91" s="14"/>
      <c r="EW91" s="65"/>
      <c r="EX91" s="13"/>
      <c r="EY91" s="14"/>
      <c r="FA91" s="65"/>
      <c r="FB91" s="13"/>
      <c r="FC91" s="14"/>
      <c r="FE91" s="65"/>
      <c r="FF91" s="13"/>
      <c r="FG91" s="14"/>
      <c r="FI91" s="65"/>
      <c r="FJ91" s="13"/>
      <c r="FK91" s="14"/>
      <c r="FM91" s="65"/>
      <c r="FN91" s="13"/>
      <c r="FO91" s="14"/>
      <c r="FQ91" s="65"/>
      <c r="FR91" s="13"/>
      <c r="FS91" s="14"/>
      <c r="FU91" s="65"/>
      <c r="FV91" s="13"/>
      <c r="FW91" s="14"/>
      <c r="FY91" s="65"/>
      <c r="FZ91" s="13"/>
      <c r="GA91" s="14"/>
      <c r="GC91" s="65"/>
      <c r="GD91" s="13"/>
      <c r="GE91" s="14"/>
      <c r="GG91" s="65"/>
      <c r="GH91" s="13"/>
      <c r="GI91" s="14"/>
      <c r="GK91" s="65"/>
      <c r="GL91" s="13"/>
      <c r="GM91" s="14"/>
      <c r="GO91" s="65"/>
      <c r="GP91" s="13"/>
      <c r="GQ91" s="14"/>
      <c r="GS91" s="65"/>
      <c r="GT91" s="13"/>
      <c r="GU91" s="14"/>
      <c r="GW91" s="65"/>
      <c r="GX91" s="13"/>
      <c r="GY91" s="14"/>
      <c r="HA91" s="65"/>
      <c r="HB91" s="13"/>
      <c r="HC91" s="14"/>
      <c r="HE91" s="65"/>
      <c r="HF91" s="13"/>
      <c r="HG91" s="14"/>
      <c r="HI91" s="65"/>
      <c r="HJ91" s="13"/>
      <c r="HK91" s="14"/>
      <c r="HM91" s="65"/>
      <c r="HN91" s="13"/>
      <c r="HO91" s="14"/>
      <c r="HQ91" s="65"/>
      <c r="HR91" s="13"/>
      <c r="HS91" s="14"/>
      <c r="HU91" s="65"/>
      <c r="HV91" s="13"/>
      <c r="HW91" s="14"/>
      <c r="HY91" s="65"/>
      <c r="HZ91" s="13"/>
      <c r="IA91" s="14"/>
      <c r="IC91" s="65"/>
      <c r="ID91" s="13"/>
      <c r="IE91" s="14"/>
      <c r="IG91" s="65"/>
      <c r="IH91" s="13"/>
      <c r="II91" s="14"/>
      <c r="IK91" s="65"/>
      <c r="IL91" s="13"/>
      <c r="IM91" s="14"/>
      <c r="IO91" s="65"/>
      <c r="IP91" s="13"/>
      <c r="IQ91" s="14"/>
      <c r="IS91" s="65"/>
      <c r="IT91" s="13"/>
      <c r="IU91" s="14"/>
      <c r="IW91" s="65"/>
      <c r="IX91" s="13"/>
      <c r="IY91" s="14"/>
      <c r="JA91" s="65"/>
      <c r="JB91" s="13"/>
      <c r="JC91" s="14"/>
      <c r="JE91" s="65"/>
      <c r="JF91" s="13"/>
      <c r="JG91" s="14"/>
      <c r="JI91" s="65"/>
      <c r="JJ91" s="13"/>
      <c r="JK91" s="14"/>
      <c r="JM91" s="65"/>
      <c r="JN91" s="13"/>
      <c r="JO91" s="14"/>
      <c r="JQ91" s="65"/>
      <c r="JR91" s="13"/>
      <c r="JS91" s="14"/>
      <c r="JU91" s="65"/>
      <c r="JV91" s="13"/>
      <c r="JW91" s="14"/>
      <c r="JY91" s="65"/>
      <c r="JZ91" s="13"/>
      <c r="KA91" s="14"/>
      <c r="KC91" s="65"/>
      <c r="KD91" s="13"/>
      <c r="KE91" s="14"/>
      <c r="KG91" s="65"/>
      <c r="KH91" s="13"/>
      <c r="KI91" s="14"/>
      <c r="KK91" s="65"/>
      <c r="KL91" s="13"/>
      <c r="KM91" s="14"/>
      <c r="KO91" s="65"/>
      <c r="KP91" s="13"/>
      <c r="KQ91" s="14"/>
      <c r="KS91" s="65"/>
      <c r="KT91" s="13"/>
      <c r="KU91" s="14"/>
      <c r="KW91" s="65"/>
      <c r="KX91" s="13"/>
      <c r="KY91" s="14"/>
      <c r="LA91" s="65"/>
      <c r="LB91" s="13"/>
      <c r="LC91" s="14"/>
      <c r="LE91" s="65"/>
      <c r="LF91" s="13"/>
      <c r="LG91" s="14"/>
      <c r="LI91" s="65"/>
      <c r="LJ91" s="13"/>
      <c r="LK91" s="14"/>
      <c r="LM91" s="65"/>
      <c r="LN91" s="13"/>
      <c r="LO91" s="14"/>
      <c r="LQ91" s="65"/>
      <c r="LR91" s="13"/>
      <c r="LS91" s="14"/>
      <c r="LU91" s="65"/>
      <c r="LV91" s="13"/>
      <c r="LW91" s="14"/>
      <c r="LY91" s="65"/>
      <c r="LZ91" s="13"/>
      <c r="MA91" s="14"/>
      <c r="MC91" s="65"/>
      <c r="MD91" s="13"/>
      <c r="ME91" s="14"/>
      <c r="MG91" s="65"/>
      <c r="MH91" s="13"/>
      <c r="MI91" s="14"/>
      <c r="MK91" s="65"/>
      <c r="ML91" s="13"/>
      <c r="MM91" s="14"/>
      <c r="MO91" s="65"/>
      <c r="MP91" s="13"/>
      <c r="MQ91" s="14"/>
      <c r="MS91" s="65"/>
      <c r="MT91" s="13"/>
      <c r="MU91" s="14"/>
    </row>
    <row r="92" spans="1:359" x14ac:dyDescent="0.25">
      <c r="A92" s="15">
        <f t="shared" si="171"/>
        <v>733748.17269634583</v>
      </c>
      <c r="B92" s="20">
        <v>42786</v>
      </c>
      <c r="D92" s="12">
        <v>84</v>
      </c>
      <c r="E92" s="12">
        <v>1141875.262037107</v>
      </c>
      <c r="F92" s="14">
        <v>42516</v>
      </c>
      <c r="I92" s="12"/>
      <c r="J92" s="13"/>
      <c r="K92" s="14"/>
      <c r="N92" s="12">
        <f t="shared" si="182"/>
        <v>14</v>
      </c>
      <c r="O92" s="13">
        <f t="shared" si="172"/>
        <v>733748.17269634583</v>
      </c>
      <c r="P92" s="14">
        <v>42786</v>
      </c>
      <c r="T92" s="15"/>
      <c r="U92" s="20"/>
      <c r="W92" s="12"/>
      <c r="X92" s="12"/>
      <c r="Y92" s="14"/>
      <c r="AB92" s="12"/>
      <c r="AC92" s="13"/>
      <c r="AD92" s="14"/>
      <c r="AG92" s="12"/>
      <c r="AH92" s="13"/>
      <c r="AI92" s="14"/>
      <c r="AK92" s="12"/>
      <c r="AL92" s="13"/>
      <c r="AM92" s="14"/>
      <c r="CK92" s="65"/>
      <c r="CL92" s="13"/>
      <c r="CO92" s="65"/>
      <c r="CP92" s="13"/>
      <c r="CS92" s="65"/>
      <c r="CT92" s="13"/>
      <c r="CW92" s="65"/>
      <c r="CX92" s="13"/>
      <c r="DA92" s="65"/>
      <c r="DB92" s="13"/>
      <c r="DE92" s="65"/>
      <c r="DF92" s="13"/>
      <c r="DI92" s="65"/>
      <c r="DJ92" s="13"/>
      <c r="DM92" s="65"/>
      <c r="DN92" s="13"/>
      <c r="DQ92" s="65"/>
      <c r="DR92" s="13"/>
      <c r="DU92" s="65">
        <f t="shared" si="184"/>
        <v>8</v>
      </c>
      <c r="DV92" s="13">
        <f t="shared" si="174"/>
        <v>2337709.4805062972</v>
      </c>
      <c r="DW92" s="14">
        <v>43094</v>
      </c>
      <c r="DY92" s="65">
        <f t="shared" si="185"/>
        <v>19</v>
      </c>
      <c r="DZ92" s="13">
        <f t="shared" si="175"/>
        <v>794688.41925650788</v>
      </c>
      <c r="EA92" s="14">
        <v>43097</v>
      </c>
      <c r="EC92" s="65"/>
      <c r="ED92" s="13"/>
      <c r="EE92" s="14"/>
      <c r="EG92" s="65"/>
      <c r="EH92" s="13"/>
      <c r="EI92" s="14"/>
      <c r="EK92" s="65"/>
      <c r="EL92" s="13"/>
      <c r="EM92" s="14"/>
      <c r="EO92" s="65"/>
      <c r="EP92" s="13"/>
      <c r="EQ92" s="14"/>
      <c r="ES92" s="65"/>
      <c r="ET92" s="13"/>
      <c r="EU92" s="14"/>
      <c r="EW92" s="65"/>
      <c r="EX92" s="13"/>
      <c r="EY92" s="14"/>
      <c r="FA92" s="65"/>
      <c r="FB92" s="13"/>
      <c r="FC92" s="14"/>
      <c r="FE92" s="65"/>
      <c r="FF92" s="13"/>
      <c r="FG92" s="14"/>
      <c r="FI92" s="65"/>
      <c r="FJ92" s="13"/>
      <c r="FK92" s="14"/>
      <c r="FM92" s="65"/>
      <c r="FN92" s="13"/>
      <c r="FO92" s="14"/>
      <c r="FQ92" s="65"/>
      <c r="FR92" s="13"/>
      <c r="FS92" s="14"/>
      <c r="FU92" s="65"/>
      <c r="FV92" s="13"/>
      <c r="FW92" s="14"/>
      <c r="FY92" s="65"/>
      <c r="FZ92" s="13"/>
      <c r="GA92" s="14"/>
      <c r="GC92" s="65"/>
      <c r="GD92" s="13"/>
      <c r="GE92" s="14"/>
      <c r="GG92" s="65"/>
      <c r="GH92" s="13"/>
      <c r="GI92" s="14"/>
      <c r="GK92" s="65"/>
      <c r="GL92" s="13"/>
      <c r="GM92" s="14"/>
      <c r="GO92" s="65"/>
      <c r="GP92" s="13"/>
      <c r="GQ92" s="14"/>
      <c r="GS92" s="65"/>
      <c r="GT92" s="13"/>
      <c r="GU92" s="14"/>
      <c r="GW92" s="65"/>
      <c r="GX92" s="13"/>
      <c r="GY92" s="14"/>
      <c r="HA92" s="65"/>
      <c r="HB92" s="13"/>
      <c r="HC92" s="14"/>
      <c r="HE92" s="65"/>
      <c r="HF92" s="13"/>
      <c r="HG92" s="14"/>
      <c r="HI92" s="65"/>
      <c r="HJ92" s="13"/>
      <c r="HK92" s="14"/>
      <c r="HM92" s="65"/>
      <c r="HN92" s="13"/>
      <c r="HO92" s="14"/>
      <c r="HQ92" s="65"/>
      <c r="HR92" s="13"/>
      <c r="HS92" s="14"/>
      <c r="HU92" s="65"/>
      <c r="HV92" s="13"/>
      <c r="HW92" s="14"/>
      <c r="HY92" s="65"/>
      <c r="HZ92" s="13"/>
      <c r="IA92" s="14"/>
      <c r="IC92" s="65"/>
      <c r="ID92" s="13"/>
      <c r="IE92" s="14"/>
      <c r="IG92" s="65"/>
      <c r="IH92" s="13"/>
      <c r="II92" s="14"/>
      <c r="IK92" s="65"/>
      <c r="IL92" s="13"/>
      <c r="IM92" s="14"/>
      <c r="IO92" s="65"/>
      <c r="IP92" s="13"/>
      <c r="IQ92" s="14"/>
      <c r="IS92" s="65"/>
      <c r="IT92" s="13"/>
      <c r="IU92" s="14"/>
      <c r="IW92" s="65"/>
      <c r="IX92" s="13"/>
      <c r="IY92" s="14"/>
      <c r="JA92" s="65"/>
      <c r="JB92" s="13"/>
      <c r="JC92" s="14"/>
      <c r="JE92" s="65"/>
      <c r="JF92" s="13"/>
      <c r="JG92" s="14"/>
      <c r="JI92" s="65"/>
      <c r="JJ92" s="13"/>
      <c r="JK92" s="14"/>
      <c r="JM92" s="65"/>
      <c r="JN92" s="13"/>
      <c r="JO92" s="14"/>
      <c r="JQ92" s="65"/>
      <c r="JR92" s="13"/>
      <c r="JS92" s="14"/>
      <c r="JU92" s="65"/>
      <c r="JV92" s="13"/>
      <c r="JW92" s="14"/>
      <c r="JY92" s="65"/>
      <c r="JZ92" s="13"/>
      <c r="KA92" s="14"/>
      <c r="KC92" s="65"/>
      <c r="KD92" s="13"/>
      <c r="KE92" s="14"/>
      <c r="KG92" s="65"/>
      <c r="KH92" s="13"/>
      <c r="KI92" s="14"/>
      <c r="KK92" s="65"/>
      <c r="KL92" s="13"/>
      <c r="KM92" s="14"/>
      <c r="KO92" s="65"/>
      <c r="KP92" s="13"/>
      <c r="KQ92" s="14"/>
      <c r="KS92" s="65"/>
      <c r="KT92" s="13"/>
      <c r="KU92" s="14"/>
      <c r="KW92" s="65"/>
      <c r="KX92" s="13"/>
      <c r="KY92" s="14"/>
      <c r="LA92" s="65"/>
      <c r="LB92" s="13"/>
      <c r="LC92" s="14"/>
      <c r="LE92" s="65"/>
      <c r="LF92" s="13"/>
      <c r="LG92" s="14"/>
      <c r="LI92" s="65"/>
      <c r="LJ92" s="13"/>
      <c r="LK92" s="14"/>
      <c r="LM92" s="65"/>
      <c r="LN92" s="13"/>
      <c r="LO92" s="14"/>
      <c r="LQ92" s="65"/>
      <c r="LR92" s="13"/>
      <c r="LS92" s="14"/>
      <c r="LU92" s="65"/>
      <c r="LV92" s="13"/>
      <c r="LW92" s="14"/>
      <c r="LY92" s="65"/>
      <c r="LZ92" s="13"/>
      <c r="MA92" s="14"/>
      <c r="MC92" s="65"/>
      <c r="MD92" s="13"/>
      <c r="ME92" s="14"/>
      <c r="MG92" s="65"/>
      <c r="MH92" s="13"/>
      <c r="MI92" s="14"/>
      <c r="MK92" s="65"/>
      <c r="ML92" s="13"/>
      <c r="MM92" s="14"/>
      <c r="MO92" s="65"/>
      <c r="MP92" s="13"/>
      <c r="MQ92" s="14"/>
      <c r="MS92" s="65"/>
      <c r="MT92" s="13"/>
      <c r="MU92" s="14"/>
    </row>
    <row r="93" spans="1:359" x14ac:dyDescent="0.25">
      <c r="A93" s="15">
        <f t="shared" si="171"/>
        <v>733777.6085958879</v>
      </c>
      <c r="B93" s="20">
        <v>42787</v>
      </c>
      <c r="D93" s="12">
        <v>83</v>
      </c>
      <c r="E93" s="12">
        <v>1141902.4640735441</v>
      </c>
      <c r="F93" s="14">
        <v>42517</v>
      </c>
      <c r="I93" s="12"/>
      <c r="J93" s="13"/>
      <c r="K93" s="14"/>
      <c r="N93" s="12">
        <f t="shared" si="182"/>
        <v>13</v>
      </c>
      <c r="O93" s="13">
        <f t="shared" si="172"/>
        <v>733777.6085958879</v>
      </c>
      <c r="P93" s="14">
        <v>42787</v>
      </c>
      <c r="T93" s="15"/>
      <c r="U93" s="20"/>
      <c r="W93" s="12"/>
      <c r="X93" s="12"/>
      <c r="Y93" s="14"/>
      <c r="AB93" s="12"/>
      <c r="AC93" s="13"/>
      <c r="AD93" s="14"/>
      <c r="AG93" s="12"/>
      <c r="AH93" s="13"/>
      <c r="AI93" s="14"/>
      <c r="AK93" s="12"/>
      <c r="AL93" s="13"/>
      <c r="AM93" s="14"/>
      <c r="CK93" s="65"/>
      <c r="CL93" s="13"/>
      <c r="CO93" s="65"/>
      <c r="CP93" s="13"/>
      <c r="CS93" s="65"/>
      <c r="CT93" s="13"/>
      <c r="CW93" s="65"/>
      <c r="CX93" s="13"/>
      <c r="DA93" s="65"/>
      <c r="DB93" s="13"/>
      <c r="DE93" s="65"/>
      <c r="DF93" s="13"/>
      <c r="DI93" s="65"/>
      <c r="DJ93" s="13"/>
      <c r="DM93" s="65"/>
      <c r="DN93" s="13"/>
      <c r="DQ93" s="65"/>
      <c r="DR93" s="13"/>
      <c r="DU93" s="65">
        <f t="shared" si="184"/>
        <v>7</v>
      </c>
      <c r="DV93" s="13">
        <f t="shared" si="174"/>
        <v>2337825.0355474548</v>
      </c>
      <c r="DW93" s="14">
        <v>43095</v>
      </c>
      <c r="DY93" s="65">
        <f t="shared" si="185"/>
        <v>18</v>
      </c>
      <c r="DZ93" s="13">
        <f t="shared" si="175"/>
        <v>794730.12950454396</v>
      </c>
      <c r="EA93" s="14">
        <v>43098</v>
      </c>
      <c r="EC93" s="65"/>
      <c r="ED93" s="13"/>
      <c r="EE93" s="14"/>
      <c r="EG93" s="65"/>
      <c r="EH93" s="13"/>
      <c r="EI93" s="14"/>
      <c r="EK93" s="65"/>
      <c r="EL93" s="13"/>
      <c r="EM93" s="14"/>
      <c r="EO93" s="65"/>
      <c r="EP93" s="13"/>
      <c r="EQ93" s="14"/>
      <c r="ES93" s="65"/>
      <c r="ET93" s="13"/>
      <c r="EU93" s="14"/>
      <c r="EW93" s="65"/>
      <c r="EX93" s="13"/>
      <c r="EY93" s="14"/>
      <c r="FA93" s="65"/>
      <c r="FB93" s="13"/>
      <c r="FC93" s="14"/>
      <c r="FE93" s="65"/>
      <c r="FF93" s="13"/>
      <c r="FG93" s="14"/>
      <c r="FI93" s="65"/>
      <c r="FJ93" s="13"/>
      <c r="FK93" s="14"/>
      <c r="FM93" s="65"/>
      <c r="FN93" s="13"/>
      <c r="FO93" s="14"/>
      <c r="FQ93" s="65"/>
      <c r="FR93" s="13"/>
      <c r="FS93" s="14"/>
      <c r="FU93" s="65"/>
      <c r="FV93" s="13"/>
      <c r="FW93" s="14"/>
      <c r="FY93" s="65"/>
      <c r="FZ93" s="13"/>
      <c r="GA93" s="14"/>
      <c r="GC93" s="65"/>
      <c r="GD93" s="13"/>
      <c r="GE93" s="14"/>
      <c r="GG93" s="65"/>
      <c r="GH93" s="13"/>
      <c r="GI93" s="14"/>
      <c r="GK93" s="65"/>
      <c r="GL93" s="13"/>
      <c r="GM93" s="14"/>
      <c r="GO93" s="65"/>
      <c r="GP93" s="13"/>
      <c r="GQ93" s="14"/>
      <c r="GS93" s="65"/>
      <c r="GT93" s="13"/>
      <c r="GU93" s="14"/>
      <c r="GW93" s="65"/>
      <c r="GX93" s="13"/>
      <c r="GY93" s="14"/>
      <c r="HA93" s="65"/>
      <c r="HB93" s="13"/>
      <c r="HC93" s="14"/>
      <c r="HE93" s="65"/>
      <c r="HF93" s="13"/>
      <c r="HG93" s="14"/>
      <c r="HI93" s="65"/>
      <c r="HJ93" s="13"/>
      <c r="HK93" s="14"/>
      <c r="HM93" s="65"/>
      <c r="HN93" s="13"/>
      <c r="HO93" s="14"/>
      <c r="HQ93" s="65"/>
      <c r="HR93" s="13"/>
      <c r="HS93" s="14"/>
      <c r="HU93" s="65"/>
      <c r="HV93" s="13"/>
      <c r="HW93" s="14"/>
      <c r="HY93" s="65"/>
      <c r="HZ93" s="13"/>
      <c r="IA93" s="14"/>
      <c r="IC93" s="65"/>
      <c r="ID93" s="13"/>
      <c r="IE93" s="14"/>
      <c r="IG93" s="65"/>
      <c r="IH93" s="13"/>
      <c r="II93" s="14"/>
      <c r="IK93" s="65"/>
      <c r="IL93" s="13"/>
      <c r="IM93" s="14"/>
      <c r="IO93" s="65"/>
      <c r="IP93" s="13"/>
      <c r="IQ93" s="14"/>
      <c r="IS93" s="65"/>
      <c r="IT93" s="13"/>
      <c r="IU93" s="14"/>
      <c r="IW93" s="65"/>
      <c r="IX93" s="13"/>
      <c r="IY93" s="14"/>
      <c r="JA93" s="65"/>
      <c r="JB93" s="13"/>
      <c r="JC93" s="14"/>
      <c r="JE93" s="65"/>
      <c r="JF93" s="13"/>
      <c r="JG93" s="14"/>
      <c r="JI93" s="65"/>
      <c r="JJ93" s="13"/>
      <c r="JK93" s="14"/>
      <c r="JM93" s="65"/>
      <c r="JN93" s="13"/>
      <c r="JO93" s="14"/>
      <c r="JQ93" s="65"/>
      <c r="JR93" s="13"/>
      <c r="JS93" s="14"/>
      <c r="JU93" s="65"/>
      <c r="JV93" s="13"/>
      <c r="JW93" s="14"/>
      <c r="JY93" s="65"/>
      <c r="JZ93" s="13"/>
      <c r="KA93" s="14"/>
      <c r="KC93" s="65"/>
      <c r="KD93" s="13"/>
      <c r="KE93" s="14"/>
      <c r="KG93" s="65"/>
      <c r="KH93" s="13"/>
      <c r="KI93" s="14"/>
      <c r="KK93" s="65"/>
      <c r="KL93" s="13"/>
      <c r="KM93" s="14"/>
      <c r="KO93" s="65"/>
      <c r="KP93" s="13"/>
      <c r="KQ93" s="14"/>
      <c r="KS93" s="65"/>
      <c r="KT93" s="13"/>
      <c r="KU93" s="14"/>
      <c r="KW93" s="65"/>
      <c r="KX93" s="13"/>
      <c r="KY93" s="14"/>
      <c r="LA93" s="65"/>
      <c r="LB93" s="13"/>
      <c r="LC93" s="14"/>
      <c r="LE93" s="65"/>
      <c r="LF93" s="13"/>
      <c r="LG93" s="14"/>
      <c r="LI93" s="65"/>
      <c r="LJ93" s="13"/>
      <c r="LK93" s="14"/>
      <c r="LM93" s="65"/>
      <c r="LN93" s="13"/>
      <c r="LO93" s="14"/>
      <c r="LQ93" s="65"/>
      <c r="LR93" s="13"/>
      <c r="LS93" s="14"/>
      <c r="LU93" s="65"/>
      <c r="LV93" s="13"/>
      <c r="LW93" s="14"/>
      <c r="LY93" s="65"/>
      <c r="LZ93" s="13"/>
      <c r="MA93" s="14"/>
      <c r="MC93" s="65"/>
      <c r="MD93" s="13"/>
      <c r="ME93" s="14"/>
      <c r="MG93" s="65"/>
      <c r="MH93" s="13"/>
      <c r="MI93" s="14"/>
      <c r="MK93" s="65"/>
      <c r="ML93" s="13"/>
      <c r="MM93" s="14"/>
      <c r="MO93" s="65"/>
      <c r="MP93" s="13"/>
      <c r="MQ93" s="14"/>
      <c r="MS93" s="65"/>
      <c r="MT93" s="13"/>
      <c r="MU93" s="14"/>
    </row>
    <row r="94" spans="1:359" x14ac:dyDescent="0.25">
      <c r="A94" s="15">
        <f t="shared" si="171"/>
        <v>733807.04685729463</v>
      </c>
      <c r="B94" s="20">
        <v>42788</v>
      </c>
      <c r="D94" s="12">
        <v>82</v>
      </c>
      <c r="E94" s="12">
        <v>1141929.66740604</v>
      </c>
      <c r="F94" s="14">
        <v>42518</v>
      </c>
      <c r="I94" s="12"/>
      <c r="J94" s="13"/>
      <c r="K94" s="14"/>
      <c r="N94" s="12">
        <f t="shared" si="182"/>
        <v>12</v>
      </c>
      <c r="O94" s="13">
        <f t="shared" si="172"/>
        <v>733807.04685729463</v>
      </c>
      <c r="P94" s="14">
        <v>42788</v>
      </c>
      <c r="T94" s="15"/>
      <c r="U94" s="20"/>
      <c r="W94" s="12"/>
      <c r="X94" s="12"/>
      <c r="Y94" s="14"/>
      <c r="AB94" s="12"/>
      <c r="AC94" s="13"/>
      <c r="AD94" s="14"/>
      <c r="AG94" s="12"/>
      <c r="AH94" s="13"/>
      <c r="AI94" s="14"/>
      <c r="AK94" s="12"/>
      <c r="AL94" s="13"/>
      <c r="AM94" s="14"/>
      <c r="CK94" s="65"/>
      <c r="CL94" s="13"/>
      <c r="CO94" s="65"/>
      <c r="CP94" s="13"/>
      <c r="CS94" s="65"/>
      <c r="CT94" s="13"/>
      <c r="CW94" s="65"/>
      <c r="CX94" s="13"/>
      <c r="DA94" s="65"/>
      <c r="DB94" s="13"/>
      <c r="DE94" s="65"/>
      <c r="DF94" s="13"/>
      <c r="DI94" s="65"/>
      <c r="DJ94" s="13"/>
      <c r="DM94" s="65"/>
      <c r="DN94" s="13"/>
      <c r="DQ94" s="65"/>
      <c r="DR94" s="13"/>
      <c r="DU94" s="65">
        <f t="shared" si="184"/>
        <v>6</v>
      </c>
      <c r="DV94" s="13">
        <f t="shared" si="174"/>
        <v>2337940.6020131535</v>
      </c>
      <c r="DW94" s="14">
        <v>43096</v>
      </c>
      <c r="DY94" s="65">
        <f t="shared" si="185"/>
        <v>17</v>
      </c>
      <c r="DZ94" s="13">
        <f t="shared" si="175"/>
        <v>794771.84413124237</v>
      </c>
      <c r="EA94" s="14">
        <v>43099</v>
      </c>
      <c r="EC94" s="65"/>
      <c r="ED94" s="13"/>
      <c r="EE94" s="14"/>
      <c r="EG94" s="65"/>
      <c r="EH94" s="13"/>
      <c r="EI94" s="14"/>
      <c r="EK94" s="65"/>
      <c r="EL94" s="13"/>
      <c r="EM94" s="14"/>
      <c r="EO94" s="65"/>
      <c r="EP94" s="13"/>
      <c r="EQ94" s="14"/>
      <c r="ES94" s="65"/>
      <c r="ET94" s="13"/>
      <c r="EU94" s="14"/>
      <c r="EW94" s="65"/>
      <c r="EX94" s="13"/>
      <c r="EY94" s="14"/>
      <c r="FA94" s="65"/>
      <c r="FB94" s="13"/>
      <c r="FC94" s="14"/>
      <c r="FE94" s="65"/>
      <c r="FF94" s="13"/>
      <c r="FG94" s="14"/>
      <c r="FI94" s="65"/>
      <c r="FJ94" s="13"/>
      <c r="FK94" s="14"/>
      <c r="FM94" s="65"/>
      <c r="FN94" s="13"/>
      <c r="FO94" s="14"/>
      <c r="FQ94" s="65"/>
      <c r="FR94" s="13"/>
      <c r="FS94" s="14"/>
      <c r="FU94" s="65"/>
      <c r="FV94" s="13"/>
      <c r="FW94" s="14"/>
      <c r="FY94" s="65"/>
      <c r="FZ94" s="13"/>
      <c r="GA94" s="14"/>
      <c r="GC94" s="65"/>
      <c r="GD94" s="13"/>
      <c r="GE94" s="14"/>
      <c r="GG94" s="65"/>
      <c r="GH94" s="13"/>
      <c r="GI94" s="14"/>
      <c r="GK94" s="65"/>
      <c r="GL94" s="13"/>
      <c r="GM94" s="14"/>
      <c r="GO94" s="65"/>
      <c r="GP94" s="13"/>
      <c r="GQ94" s="14"/>
      <c r="GS94" s="65"/>
      <c r="GT94" s="13"/>
      <c r="GU94" s="14"/>
      <c r="GW94" s="65"/>
      <c r="GX94" s="13"/>
      <c r="GY94" s="14"/>
      <c r="HA94" s="65"/>
      <c r="HB94" s="13"/>
      <c r="HC94" s="14"/>
      <c r="HE94" s="65"/>
      <c r="HF94" s="13"/>
      <c r="HG94" s="14"/>
      <c r="HI94" s="65"/>
      <c r="HJ94" s="13"/>
      <c r="HK94" s="14"/>
      <c r="HM94" s="65"/>
      <c r="HN94" s="13"/>
      <c r="HO94" s="14"/>
      <c r="HQ94" s="65"/>
      <c r="HR94" s="13"/>
      <c r="HS94" s="14"/>
      <c r="HU94" s="65"/>
      <c r="HV94" s="13"/>
      <c r="HW94" s="14"/>
      <c r="HY94" s="65"/>
      <c r="HZ94" s="13"/>
      <c r="IA94" s="14"/>
      <c r="IC94" s="65"/>
      <c r="ID94" s="13"/>
      <c r="IE94" s="14"/>
      <c r="IG94" s="65"/>
      <c r="IH94" s="13"/>
      <c r="II94" s="14"/>
      <c r="IK94" s="65"/>
      <c r="IL94" s="13"/>
      <c r="IM94" s="14"/>
      <c r="IO94" s="65"/>
      <c r="IP94" s="13"/>
      <c r="IQ94" s="14"/>
      <c r="IS94" s="65"/>
      <c r="IT94" s="13"/>
      <c r="IU94" s="14"/>
      <c r="IW94" s="65"/>
      <c r="IX94" s="13"/>
      <c r="IY94" s="14"/>
      <c r="JA94" s="65"/>
      <c r="JB94" s="13"/>
      <c r="JC94" s="14"/>
      <c r="JE94" s="65"/>
      <c r="JF94" s="13"/>
      <c r="JG94" s="14"/>
      <c r="JI94" s="65"/>
      <c r="JJ94" s="13"/>
      <c r="JK94" s="14"/>
      <c r="JM94" s="65"/>
      <c r="JN94" s="13"/>
      <c r="JO94" s="14"/>
      <c r="JQ94" s="65"/>
      <c r="JR94" s="13"/>
      <c r="JS94" s="14"/>
      <c r="JU94" s="65"/>
      <c r="JV94" s="13"/>
      <c r="JW94" s="14"/>
      <c r="JY94" s="65"/>
      <c r="JZ94" s="13"/>
      <c r="KA94" s="14"/>
      <c r="KC94" s="65"/>
      <c r="KD94" s="13"/>
      <c r="KE94" s="14"/>
      <c r="KG94" s="65"/>
      <c r="KH94" s="13"/>
      <c r="KI94" s="14"/>
      <c r="KK94" s="65"/>
      <c r="KL94" s="13"/>
      <c r="KM94" s="14"/>
      <c r="KO94" s="65"/>
      <c r="KP94" s="13"/>
      <c r="KQ94" s="14"/>
      <c r="KS94" s="65"/>
      <c r="KT94" s="13"/>
      <c r="KU94" s="14"/>
      <c r="KW94" s="65"/>
      <c r="KX94" s="13"/>
      <c r="KY94" s="14"/>
      <c r="LA94" s="65"/>
      <c r="LB94" s="13"/>
      <c r="LC94" s="14"/>
      <c r="LE94" s="65"/>
      <c r="LF94" s="13"/>
      <c r="LG94" s="14"/>
      <c r="LI94" s="65"/>
      <c r="LJ94" s="13"/>
      <c r="LK94" s="14"/>
      <c r="LM94" s="65"/>
      <c r="LN94" s="13"/>
      <c r="LO94" s="14"/>
      <c r="LQ94" s="65"/>
      <c r="LR94" s="13"/>
      <c r="LS94" s="14"/>
      <c r="LU94" s="65"/>
      <c r="LV94" s="13"/>
      <c r="LW94" s="14"/>
      <c r="LY94" s="65"/>
      <c r="LZ94" s="13"/>
      <c r="MA94" s="14"/>
      <c r="MC94" s="65"/>
      <c r="MD94" s="13"/>
      <c r="ME94" s="14"/>
      <c r="MG94" s="65"/>
      <c r="MH94" s="13"/>
      <c r="MI94" s="14"/>
      <c r="MK94" s="65"/>
      <c r="ML94" s="13"/>
      <c r="MM94" s="14"/>
      <c r="MO94" s="65"/>
      <c r="MP94" s="13"/>
      <c r="MQ94" s="14"/>
      <c r="MS94" s="65"/>
      <c r="MT94" s="13"/>
      <c r="MU94" s="14"/>
    </row>
    <row r="95" spans="1:359" x14ac:dyDescent="0.25">
      <c r="A95" s="15">
        <f t="shared" si="171"/>
        <v>733836.48748085031</v>
      </c>
      <c r="B95" s="20">
        <v>42789</v>
      </c>
      <c r="D95" s="12">
        <v>81</v>
      </c>
      <c r="E95" s="12">
        <v>1141956.8720346864</v>
      </c>
      <c r="F95" s="14">
        <v>42519</v>
      </c>
      <c r="I95" s="12"/>
      <c r="J95" s="13"/>
      <c r="K95" s="14"/>
      <c r="N95" s="12">
        <f t="shared" si="182"/>
        <v>11</v>
      </c>
      <c r="O95" s="13">
        <f t="shared" si="172"/>
        <v>733836.48748085031</v>
      </c>
      <c r="P95" s="14">
        <v>42789</v>
      </c>
      <c r="T95" s="15"/>
      <c r="U95" s="20"/>
      <c r="W95" s="12"/>
      <c r="X95" s="12"/>
      <c r="Y95" s="14"/>
      <c r="AB95" s="12"/>
      <c r="AC95" s="13"/>
      <c r="AD95" s="14"/>
      <c r="AG95" s="12"/>
      <c r="AH95" s="13"/>
      <c r="AI95" s="14"/>
      <c r="AK95" s="12"/>
      <c r="AL95" s="13"/>
      <c r="AM95" s="14"/>
      <c r="CK95" s="65"/>
      <c r="CL95" s="13"/>
      <c r="CO95" s="65"/>
      <c r="CP95" s="13"/>
      <c r="CS95" s="65"/>
      <c r="CT95" s="13"/>
      <c r="CW95" s="65"/>
      <c r="CX95" s="13"/>
      <c r="DA95" s="65"/>
      <c r="DB95" s="13"/>
      <c r="DE95" s="65"/>
      <c r="DF95" s="13"/>
      <c r="DI95" s="65"/>
      <c r="DJ95" s="13"/>
      <c r="DM95" s="65"/>
      <c r="DN95" s="13"/>
      <c r="DQ95" s="65"/>
      <c r="DR95" s="13"/>
      <c r="DU95" s="65">
        <f t="shared" si="184"/>
        <v>5</v>
      </c>
      <c r="DV95" s="13">
        <f t="shared" si="174"/>
        <v>2338056.1799050858</v>
      </c>
      <c r="DW95" s="14">
        <v>43097</v>
      </c>
      <c r="DY95" s="65">
        <f t="shared" si="185"/>
        <v>16</v>
      </c>
      <c r="DZ95" s="13">
        <f t="shared" si="175"/>
        <v>794813.56313729263</v>
      </c>
      <c r="EA95" s="14">
        <v>43100</v>
      </c>
      <c r="EC95" s="65"/>
      <c r="ED95" s="13"/>
      <c r="EE95" s="14"/>
      <c r="EG95" s="65"/>
      <c r="EH95" s="13"/>
      <c r="EI95" s="14"/>
      <c r="EK95" s="65"/>
      <c r="EL95" s="13"/>
      <c r="EM95" s="14"/>
      <c r="EO95" s="65"/>
      <c r="EP95" s="13"/>
      <c r="EQ95" s="14"/>
      <c r="ES95" s="65"/>
      <c r="ET95" s="13"/>
      <c r="EU95" s="14"/>
      <c r="EW95" s="65"/>
      <c r="EX95" s="13"/>
      <c r="EY95" s="14"/>
      <c r="FA95" s="65"/>
      <c r="FB95" s="13"/>
      <c r="FC95" s="14"/>
      <c r="FE95" s="65"/>
      <c r="FF95" s="13"/>
      <c r="FG95" s="14"/>
      <c r="FI95" s="65"/>
      <c r="FJ95" s="13"/>
      <c r="FK95" s="14"/>
      <c r="FM95" s="65"/>
      <c r="FN95" s="13"/>
      <c r="FO95" s="14"/>
      <c r="FQ95" s="65"/>
      <c r="FR95" s="13"/>
      <c r="FS95" s="14"/>
      <c r="FU95" s="65"/>
      <c r="FV95" s="13"/>
      <c r="FW95" s="14"/>
      <c r="FY95" s="65"/>
      <c r="FZ95" s="13"/>
      <c r="GA95" s="14"/>
      <c r="GC95" s="65"/>
      <c r="GD95" s="13"/>
      <c r="GE95" s="14"/>
      <c r="GG95" s="65"/>
      <c r="GH95" s="13"/>
      <c r="GI95" s="14"/>
      <c r="GK95" s="65"/>
      <c r="GL95" s="13"/>
      <c r="GM95" s="14"/>
      <c r="GO95" s="65"/>
      <c r="GP95" s="13"/>
      <c r="GQ95" s="14"/>
      <c r="GS95" s="65"/>
      <c r="GT95" s="13"/>
      <c r="GU95" s="14"/>
      <c r="GW95" s="65"/>
      <c r="GX95" s="13"/>
      <c r="GY95" s="14"/>
      <c r="HA95" s="65"/>
      <c r="HB95" s="13"/>
      <c r="HC95" s="14"/>
      <c r="HE95" s="65"/>
      <c r="HF95" s="13"/>
      <c r="HG95" s="14"/>
      <c r="HI95" s="65"/>
      <c r="HJ95" s="13"/>
      <c r="HK95" s="14"/>
      <c r="HM95" s="65"/>
      <c r="HN95" s="13"/>
      <c r="HO95" s="14"/>
      <c r="HQ95" s="65"/>
      <c r="HR95" s="13"/>
      <c r="HS95" s="14"/>
      <c r="HU95" s="65"/>
      <c r="HV95" s="13"/>
      <c r="HW95" s="14"/>
      <c r="HY95" s="65"/>
      <c r="HZ95" s="13"/>
      <c r="IA95" s="14"/>
      <c r="IC95" s="65"/>
      <c r="ID95" s="13"/>
      <c r="IE95" s="14"/>
      <c r="IG95" s="65"/>
      <c r="IH95" s="13"/>
      <c r="II95" s="14"/>
      <c r="IK95" s="65"/>
      <c r="IL95" s="13"/>
      <c r="IM95" s="14"/>
      <c r="IO95" s="65"/>
      <c r="IP95" s="13"/>
      <c r="IQ95" s="14"/>
      <c r="IS95" s="65"/>
      <c r="IT95" s="13"/>
      <c r="IU95" s="14"/>
      <c r="IW95" s="65"/>
      <c r="IX95" s="13"/>
      <c r="IY95" s="14"/>
      <c r="JA95" s="65"/>
      <c r="JB95" s="13"/>
      <c r="JC95" s="14"/>
      <c r="JE95" s="65"/>
      <c r="JF95" s="13"/>
      <c r="JG95" s="14"/>
      <c r="JI95" s="65"/>
      <c r="JJ95" s="13"/>
      <c r="JK95" s="14"/>
      <c r="JM95" s="65"/>
      <c r="JN95" s="13"/>
      <c r="JO95" s="14"/>
      <c r="JQ95" s="65"/>
      <c r="JR95" s="13"/>
      <c r="JS95" s="14"/>
      <c r="JU95" s="65"/>
      <c r="JV95" s="13"/>
      <c r="JW95" s="14"/>
      <c r="JY95" s="65"/>
      <c r="JZ95" s="13"/>
      <c r="KA95" s="14"/>
      <c r="KC95" s="65"/>
      <c r="KD95" s="13"/>
      <c r="KE95" s="14"/>
      <c r="KG95" s="65"/>
      <c r="KH95" s="13"/>
      <c r="KI95" s="14"/>
      <c r="KK95" s="65"/>
      <c r="KL95" s="13"/>
      <c r="KM95" s="14"/>
      <c r="KO95" s="65"/>
      <c r="KP95" s="13"/>
      <c r="KQ95" s="14"/>
      <c r="KS95" s="65"/>
      <c r="KT95" s="13"/>
      <c r="KU95" s="14"/>
      <c r="KW95" s="65"/>
      <c r="KX95" s="13"/>
      <c r="KY95" s="14"/>
      <c r="LA95" s="65"/>
      <c r="LB95" s="13"/>
      <c r="LC95" s="14"/>
      <c r="LE95" s="65"/>
      <c r="LF95" s="13"/>
      <c r="LG95" s="14"/>
      <c r="LI95" s="65"/>
      <c r="LJ95" s="13"/>
      <c r="LK95" s="14"/>
      <c r="LM95" s="65"/>
      <c r="LN95" s="13"/>
      <c r="LO95" s="14"/>
      <c r="LQ95" s="65"/>
      <c r="LR95" s="13"/>
      <c r="LS95" s="14"/>
      <c r="LU95" s="65"/>
      <c r="LV95" s="13"/>
      <c r="LW95" s="14"/>
      <c r="LY95" s="65"/>
      <c r="LZ95" s="13"/>
      <c r="MA95" s="14"/>
      <c r="MC95" s="65"/>
      <c r="MD95" s="13"/>
      <c r="ME95" s="14"/>
      <c r="MG95" s="65"/>
      <c r="MH95" s="13"/>
      <c r="MI95" s="14"/>
      <c r="MK95" s="65"/>
      <c r="ML95" s="13"/>
      <c r="MM95" s="14"/>
      <c r="MO95" s="65"/>
      <c r="MP95" s="13"/>
      <c r="MQ95" s="14"/>
      <c r="MS95" s="65"/>
      <c r="MT95" s="13"/>
      <c r="MU95" s="14"/>
    </row>
    <row r="96" spans="1:359" x14ac:dyDescent="0.25">
      <c r="A96" s="15">
        <f t="shared" si="171"/>
        <v>733865.93046683923</v>
      </c>
      <c r="B96" s="20">
        <v>42790</v>
      </c>
      <c r="D96" s="12">
        <v>80</v>
      </c>
      <c r="E96" s="12">
        <v>1141984.0779595764</v>
      </c>
      <c r="F96" s="14">
        <v>42520</v>
      </c>
      <c r="I96" s="12"/>
      <c r="J96" s="13"/>
      <c r="K96" s="14"/>
      <c r="N96" s="12">
        <f t="shared" si="182"/>
        <v>10</v>
      </c>
      <c r="O96" s="13">
        <f t="shared" si="172"/>
        <v>733865.93046683923</v>
      </c>
      <c r="P96" s="14">
        <v>42790</v>
      </c>
      <c r="T96" s="15"/>
      <c r="U96" s="20"/>
      <c r="W96" s="12"/>
      <c r="X96" s="12"/>
      <c r="Y96" s="14"/>
      <c r="AB96" s="12"/>
      <c r="AC96" s="13"/>
      <c r="AD96" s="14"/>
      <c r="AG96" s="12"/>
      <c r="AH96" s="13"/>
      <c r="AI96" s="14"/>
      <c r="AK96" s="12"/>
      <c r="AL96" s="13"/>
      <c r="AM96" s="14"/>
      <c r="CK96" s="65"/>
      <c r="CL96" s="13"/>
      <c r="CO96" s="65"/>
      <c r="CP96" s="13"/>
      <c r="CS96" s="65"/>
      <c r="CT96" s="13"/>
      <c r="CW96" s="65"/>
      <c r="CX96" s="13"/>
      <c r="DA96" s="65"/>
      <c r="DB96" s="13"/>
      <c r="DE96" s="65"/>
      <c r="DF96" s="13"/>
      <c r="DI96" s="65"/>
      <c r="DJ96" s="13"/>
      <c r="DM96" s="65"/>
      <c r="DN96" s="13"/>
      <c r="DQ96" s="65"/>
      <c r="DR96" s="13"/>
      <c r="DU96" s="65">
        <f t="shared" si="184"/>
        <v>4</v>
      </c>
      <c r="DV96" s="13">
        <f t="shared" si="174"/>
        <v>2338171.7692249469</v>
      </c>
      <c r="DW96" s="14">
        <v>43098</v>
      </c>
      <c r="DY96" s="65">
        <f t="shared" si="185"/>
        <v>15</v>
      </c>
      <c r="DZ96" s="13">
        <f t="shared" si="175"/>
        <v>794855.28652338439</v>
      </c>
      <c r="EA96" s="14">
        <v>43101</v>
      </c>
      <c r="EC96" s="65"/>
      <c r="ED96" s="13"/>
      <c r="EE96" s="14"/>
      <c r="EG96" s="65"/>
      <c r="EH96" s="13"/>
      <c r="EI96" s="14"/>
      <c r="EK96" s="65"/>
      <c r="EL96" s="13"/>
      <c r="EM96" s="14"/>
      <c r="EO96" s="65"/>
      <c r="EP96" s="13"/>
      <c r="EQ96" s="14"/>
      <c r="ES96" s="65"/>
      <c r="ET96" s="13"/>
      <c r="EU96" s="14"/>
      <c r="EW96" s="65"/>
      <c r="EX96" s="13"/>
      <c r="EY96" s="14"/>
      <c r="FA96" s="65"/>
      <c r="FB96" s="13"/>
      <c r="FC96" s="14"/>
      <c r="FE96" s="65"/>
      <c r="FF96" s="13"/>
      <c r="FG96" s="14"/>
      <c r="FI96" s="65"/>
      <c r="FJ96" s="13"/>
      <c r="FK96" s="14"/>
      <c r="FM96" s="65"/>
      <c r="FN96" s="13"/>
      <c r="FO96" s="14"/>
      <c r="FQ96" s="65"/>
      <c r="FR96" s="13"/>
      <c r="FS96" s="14"/>
      <c r="FU96" s="65"/>
      <c r="FV96" s="13"/>
      <c r="FW96" s="14"/>
      <c r="FY96" s="65"/>
      <c r="FZ96" s="13"/>
      <c r="GA96" s="14"/>
      <c r="GC96" s="65"/>
      <c r="GD96" s="13"/>
      <c r="GE96" s="14"/>
      <c r="GG96" s="65"/>
      <c r="GH96" s="13"/>
      <c r="GI96" s="14"/>
      <c r="GK96" s="65"/>
      <c r="GL96" s="13"/>
      <c r="GM96" s="14"/>
      <c r="GO96" s="65"/>
      <c r="GP96" s="13"/>
      <c r="GQ96" s="14"/>
      <c r="GS96" s="65"/>
      <c r="GT96" s="13"/>
      <c r="GU96" s="14"/>
      <c r="GW96" s="65"/>
      <c r="GX96" s="13"/>
      <c r="GY96" s="14"/>
      <c r="HA96" s="65"/>
      <c r="HB96" s="13"/>
      <c r="HC96" s="14"/>
      <c r="HE96" s="65"/>
      <c r="HF96" s="13"/>
      <c r="HG96" s="14"/>
      <c r="HI96" s="65"/>
      <c r="HJ96" s="13"/>
      <c r="HK96" s="14"/>
      <c r="HM96" s="65"/>
      <c r="HN96" s="13"/>
      <c r="HO96" s="14"/>
      <c r="HQ96" s="65"/>
      <c r="HR96" s="13"/>
      <c r="HS96" s="14"/>
      <c r="HU96" s="65"/>
      <c r="HV96" s="13"/>
      <c r="HW96" s="14"/>
      <c r="HY96" s="65"/>
      <c r="HZ96" s="13"/>
      <c r="IA96" s="14"/>
      <c r="IC96" s="65"/>
      <c r="ID96" s="13"/>
      <c r="IE96" s="14"/>
      <c r="IG96" s="65"/>
      <c r="IH96" s="13"/>
      <c r="II96" s="14"/>
      <c r="IK96" s="65"/>
      <c r="IL96" s="13"/>
      <c r="IM96" s="14"/>
      <c r="IO96" s="65"/>
      <c r="IP96" s="13"/>
      <c r="IQ96" s="14"/>
      <c r="IS96" s="65"/>
      <c r="IT96" s="13"/>
      <c r="IU96" s="14"/>
      <c r="IW96" s="65"/>
      <c r="IX96" s="13"/>
      <c r="IY96" s="14"/>
      <c r="JA96" s="65"/>
      <c r="JB96" s="13"/>
      <c r="JC96" s="14"/>
      <c r="JE96" s="65"/>
      <c r="JF96" s="13"/>
      <c r="JG96" s="14"/>
      <c r="JI96" s="65"/>
      <c r="JJ96" s="13"/>
      <c r="JK96" s="14"/>
      <c r="JM96" s="65"/>
      <c r="JN96" s="13"/>
      <c r="JO96" s="14"/>
      <c r="JQ96" s="65"/>
      <c r="JR96" s="13"/>
      <c r="JS96" s="14"/>
      <c r="JU96" s="65"/>
      <c r="JV96" s="13"/>
      <c r="JW96" s="14"/>
      <c r="JY96" s="65"/>
      <c r="JZ96" s="13"/>
      <c r="KA96" s="14"/>
      <c r="KC96" s="65"/>
      <c r="KD96" s="13"/>
      <c r="KE96" s="14"/>
      <c r="KG96" s="65"/>
      <c r="KH96" s="13"/>
      <c r="KI96" s="14"/>
      <c r="KK96" s="65"/>
      <c r="KL96" s="13"/>
      <c r="KM96" s="14"/>
      <c r="KO96" s="65"/>
      <c r="KP96" s="13"/>
      <c r="KQ96" s="14"/>
      <c r="KS96" s="65"/>
      <c r="KT96" s="13"/>
      <c r="KU96" s="14"/>
      <c r="KW96" s="65"/>
      <c r="KX96" s="13"/>
      <c r="KY96" s="14"/>
      <c r="LA96" s="65"/>
      <c r="LB96" s="13"/>
      <c r="LC96" s="14"/>
      <c r="LE96" s="65"/>
      <c r="LF96" s="13"/>
      <c r="LG96" s="14"/>
      <c r="LI96" s="65"/>
      <c r="LJ96" s="13"/>
      <c r="LK96" s="14"/>
      <c r="LM96" s="65"/>
      <c r="LN96" s="13"/>
      <c r="LO96" s="14"/>
      <c r="LQ96" s="65"/>
      <c r="LR96" s="13"/>
      <c r="LS96" s="14"/>
      <c r="LU96" s="65"/>
      <c r="LV96" s="13"/>
      <c r="LW96" s="14"/>
      <c r="LY96" s="65"/>
      <c r="LZ96" s="13"/>
      <c r="MA96" s="14"/>
      <c r="MC96" s="65"/>
      <c r="MD96" s="13"/>
      <c r="ME96" s="14"/>
      <c r="MG96" s="65"/>
      <c r="MH96" s="13"/>
      <c r="MI96" s="14"/>
      <c r="MK96" s="65"/>
      <c r="ML96" s="13"/>
      <c r="MM96" s="14"/>
      <c r="MO96" s="65"/>
      <c r="MP96" s="13"/>
      <c r="MQ96" s="14"/>
      <c r="MS96" s="65"/>
      <c r="MT96" s="13"/>
      <c r="MU96" s="14"/>
    </row>
    <row r="97" spans="1:359" x14ac:dyDescent="0.25">
      <c r="A97" s="15">
        <f t="shared" si="171"/>
        <v>733895.37581554579</v>
      </c>
      <c r="B97" s="20">
        <v>42791</v>
      </c>
      <c r="D97" s="12">
        <v>79</v>
      </c>
      <c r="E97" s="12">
        <v>1142011.2851808025</v>
      </c>
      <c r="F97" s="14">
        <v>42521</v>
      </c>
      <c r="I97" s="12"/>
      <c r="J97" s="13"/>
      <c r="K97" s="14"/>
      <c r="N97" s="12">
        <f t="shared" si="182"/>
        <v>9</v>
      </c>
      <c r="O97" s="13">
        <f t="shared" si="172"/>
        <v>733895.37581554579</v>
      </c>
      <c r="P97" s="14">
        <v>42791</v>
      </c>
      <c r="T97" s="15"/>
      <c r="U97" s="20"/>
      <c r="W97" s="12"/>
      <c r="X97" s="12"/>
      <c r="Y97" s="14"/>
      <c r="AB97" s="12"/>
      <c r="AC97" s="13"/>
      <c r="AD97" s="14"/>
      <c r="AG97" s="12"/>
      <c r="AH97" s="13"/>
      <c r="AI97" s="14"/>
      <c r="AK97" s="12"/>
      <c r="AL97" s="13"/>
      <c r="AM97" s="14"/>
      <c r="CK97" s="65"/>
      <c r="CL97" s="13"/>
      <c r="CO97" s="65"/>
      <c r="CP97" s="13"/>
      <c r="CS97" s="65"/>
      <c r="CT97" s="13"/>
      <c r="CW97" s="65"/>
      <c r="CX97" s="13"/>
      <c r="DA97" s="65"/>
      <c r="DB97" s="13"/>
      <c r="DE97" s="65"/>
      <c r="DF97" s="13"/>
      <c r="DI97" s="65"/>
      <c r="DJ97" s="13"/>
      <c r="DM97" s="65"/>
      <c r="DN97" s="13"/>
      <c r="DQ97" s="65"/>
      <c r="DR97" s="13"/>
      <c r="DU97" s="65">
        <f t="shared" si="184"/>
        <v>3</v>
      </c>
      <c r="DV97" s="13">
        <f t="shared" si="174"/>
        <v>2338287.369974432</v>
      </c>
      <c r="DW97" s="14">
        <v>43099</v>
      </c>
      <c r="DY97" s="65">
        <f t="shared" si="185"/>
        <v>14</v>
      </c>
      <c r="DZ97" s="13">
        <f t="shared" si="175"/>
        <v>794897.01429020741</v>
      </c>
      <c r="EA97" s="14">
        <v>43102</v>
      </c>
      <c r="EC97" s="65"/>
      <c r="ED97" s="13"/>
      <c r="EE97" s="14"/>
      <c r="EG97" s="65"/>
      <c r="EH97" s="13"/>
      <c r="EI97" s="14"/>
      <c r="EK97" s="65"/>
      <c r="EL97" s="13"/>
      <c r="EM97" s="14"/>
      <c r="EO97" s="65"/>
      <c r="EP97" s="13"/>
      <c r="EQ97" s="14"/>
      <c r="ES97" s="65"/>
      <c r="ET97" s="13"/>
      <c r="EU97" s="14"/>
      <c r="EW97" s="65"/>
      <c r="EX97" s="13"/>
      <c r="EY97" s="14"/>
      <c r="FA97" s="65"/>
      <c r="FB97" s="13"/>
      <c r="FC97" s="14"/>
      <c r="FE97" s="65"/>
      <c r="FF97" s="13"/>
      <c r="FG97" s="14"/>
      <c r="FI97" s="65"/>
      <c r="FJ97" s="13"/>
      <c r="FK97" s="14"/>
      <c r="FM97" s="65"/>
      <c r="FN97" s="13"/>
      <c r="FO97" s="14"/>
      <c r="FQ97" s="65"/>
      <c r="FR97" s="13"/>
      <c r="FS97" s="14"/>
      <c r="FU97" s="65"/>
      <c r="FV97" s="13"/>
      <c r="FW97" s="14"/>
      <c r="FY97" s="65"/>
      <c r="FZ97" s="13"/>
      <c r="GA97" s="14"/>
      <c r="GC97" s="65"/>
      <c r="GD97" s="13"/>
      <c r="GE97" s="14"/>
      <c r="GG97" s="65"/>
      <c r="GH97" s="13"/>
      <c r="GI97" s="14"/>
      <c r="GK97" s="65"/>
      <c r="GL97" s="13"/>
      <c r="GM97" s="14"/>
      <c r="GO97" s="65"/>
      <c r="GP97" s="13"/>
      <c r="GQ97" s="14"/>
      <c r="GS97" s="65"/>
      <c r="GT97" s="13"/>
      <c r="GU97" s="14"/>
      <c r="GW97" s="65"/>
      <c r="GX97" s="13"/>
      <c r="GY97" s="14"/>
      <c r="HA97" s="65"/>
      <c r="HB97" s="13"/>
      <c r="HC97" s="14"/>
      <c r="HE97" s="65"/>
      <c r="HF97" s="13"/>
      <c r="HG97" s="14"/>
      <c r="HI97" s="65"/>
      <c r="HJ97" s="13"/>
      <c r="HK97" s="14"/>
      <c r="HM97" s="65"/>
      <c r="HN97" s="13"/>
      <c r="HO97" s="14"/>
      <c r="HQ97" s="65"/>
      <c r="HR97" s="13"/>
      <c r="HS97" s="14"/>
      <c r="HU97" s="65"/>
      <c r="HV97" s="13"/>
      <c r="HW97" s="14"/>
      <c r="HY97" s="65"/>
      <c r="HZ97" s="13"/>
      <c r="IA97" s="14"/>
      <c r="IC97" s="65"/>
      <c r="ID97" s="13"/>
      <c r="IE97" s="14"/>
      <c r="IG97" s="65"/>
      <c r="IH97" s="13"/>
      <c r="II97" s="14"/>
      <c r="IK97" s="65"/>
      <c r="IL97" s="13"/>
      <c r="IM97" s="14"/>
      <c r="IO97" s="65"/>
      <c r="IP97" s="13"/>
      <c r="IQ97" s="14"/>
      <c r="IS97" s="65"/>
      <c r="IT97" s="13"/>
      <c r="IU97" s="14"/>
      <c r="IW97" s="65"/>
      <c r="IX97" s="13"/>
      <c r="IY97" s="14"/>
      <c r="JA97" s="65"/>
      <c r="JB97" s="13"/>
      <c r="JC97" s="14"/>
      <c r="JE97" s="65"/>
      <c r="JF97" s="13"/>
      <c r="JG97" s="14"/>
      <c r="JI97" s="65"/>
      <c r="JJ97" s="13"/>
      <c r="JK97" s="14"/>
      <c r="JM97" s="65"/>
      <c r="JN97" s="13"/>
      <c r="JO97" s="14"/>
      <c r="JQ97" s="65"/>
      <c r="JR97" s="13"/>
      <c r="JS97" s="14"/>
      <c r="JU97" s="65"/>
      <c r="JV97" s="13"/>
      <c r="JW97" s="14"/>
      <c r="JY97" s="65"/>
      <c r="JZ97" s="13"/>
      <c r="KA97" s="14"/>
      <c r="KC97" s="65"/>
      <c r="KD97" s="13"/>
      <c r="KE97" s="14"/>
      <c r="KG97" s="65"/>
      <c r="KH97" s="13"/>
      <c r="KI97" s="14"/>
      <c r="KK97" s="65"/>
      <c r="KL97" s="13"/>
      <c r="KM97" s="14"/>
      <c r="KO97" s="65"/>
      <c r="KP97" s="13"/>
      <c r="KQ97" s="14"/>
      <c r="KS97" s="65"/>
      <c r="KT97" s="13"/>
      <c r="KU97" s="14"/>
      <c r="KW97" s="65"/>
      <c r="KX97" s="13"/>
      <c r="KY97" s="14"/>
      <c r="LA97" s="65"/>
      <c r="LB97" s="13"/>
      <c r="LC97" s="14"/>
      <c r="LE97" s="65"/>
      <c r="LF97" s="13"/>
      <c r="LG97" s="14"/>
      <c r="LI97" s="65"/>
      <c r="LJ97" s="13"/>
      <c r="LK97" s="14"/>
      <c r="LM97" s="65"/>
      <c r="LN97" s="13"/>
      <c r="LO97" s="14"/>
      <c r="LQ97" s="65"/>
      <c r="LR97" s="13"/>
      <c r="LS97" s="14"/>
      <c r="LU97" s="65"/>
      <c r="LV97" s="13"/>
      <c r="LW97" s="14"/>
      <c r="LY97" s="65"/>
      <c r="LZ97" s="13"/>
      <c r="MA97" s="14"/>
      <c r="MC97" s="65"/>
      <c r="MD97" s="13"/>
      <c r="ME97" s="14"/>
      <c r="MG97" s="65"/>
      <c r="MH97" s="13"/>
      <c r="MI97" s="14"/>
      <c r="MK97" s="65"/>
      <c r="ML97" s="13"/>
      <c r="MM97" s="14"/>
      <c r="MO97" s="65"/>
      <c r="MP97" s="13"/>
      <c r="MQ97" s="14"/>
      <c r="MS97" s="65"/>
      <c r="MT97" s="13"/>
      <c r="MU97" s="14"/>
    </row>
    <row r="98" spans="1:359" x14ac:dyDescent="0.25">
      <c r="A98" s="15">
        <f t="shared" si="171"/>
        <v>733924.8235272544</v>
      </c>
      <c r="B98" s="20">
        <v>42792</v>
      </c>
      <c r="D98" s="12">
        <v>78</v>
      </c>
      <c r="E98" s="12">
        <v>1142038.4936984573</v>
      </c>
      <c r="F98" s="14">
        <v>42522</v>
      </c>
      <c r="I98" s="12"/>
      <c r="J98" s="13"/>
      <c r="K98" s="14"/>
      <c r="N98" s="12">
        <f t="shared" si="182"/>
        <v>8</v>
      </c>
      <c r="O98" s="13">
        <f t="shared" si="172"/>
        <v>733924.8235272544</v>
      </c>
      <c r="P98" s="14">
        <v>42792</v>
      </c>
      <c r="T98" s="15"/>
      <c r="U98" s="20"/>
      <c r="W98" s="12"/>
      <c r="X98" s="12"/>
      <c r="Y98" s="14"/>
      <c r="AB98" s="12"/>
      <c r="AC98" s="13"/>
      <c r="AD98" s="14"/>
      <c r="AG98" s="12"/>
      <c r="AH98" s="13"/>
      <c r="AI98" s="14"/>
      <c r="AK98" s="12"/>
      <c r="AL98" s="13"/>
      <c r="AM98" s="14"/>
      <c r="CK98" s="65"/>
      <c r="CL98" s="13"/>
      <c r="CO98" s="65"/>
      <c r="CP98" s="13"/>
      <c r="CS98" s="65"/>
      <c r="CT98" s="13"/>
      <c r="CW98" s="65"/>
      <c r="CX98" s="13"/>
      <c r="DA98" s="65"/>
      <c r="DB98" s="13"/>
      <c r="DE98" s="65"/>
      <c r="DF98" s="13"/>
      <c r="DI98" s="65"/>
      <c r="DJ98" s="13"/>
      <c r="DM98" s="65"/>
      <c r="DN98" s="13"/>
      <c r="DQ98" s="65"/>
      <c r="DR98" s="13"/>
      <c r="DU98" s="65">
        <f t="shared" si="184"/>
        <v>2</v>
      </c>
      <c r="DV98" s="13">
        <f t="shared" si="174"/>
        <v>2338402.9821552369</v>
      </c>
      <c r="DW98" s="14">
        <v>43100</v>
      </c>
      <c r="DY98" s="65">
        <f t="shared" si="185"/>
        <v>13</v>
      </c>
      <c r="DZ98" s="13">
        <f t="shared" si="175"/>
        <v>794938.74643845181</v>
      </c>
      <c r="EA98" s="14">
        <v>43103</v>
      </c>
      <c r="EC98" s="65"/>
      <c r="ED98" s="13"/>
      <c r="EE98" s="14"/>
      <c r="EG98" s="65"/>
      <c r="EH98" s="13"/>
      <c r="EI98" s="14"/>
      <c r="EK98" s="65"/>
      <c r="EL98" s="13"/>
      <c r="EM98" s="14"/>
      <c r="EO98" s="65"/>
      <c r="EP98" s="13"/>
      <c r="EQ98" s="14"/>
      <c r="ES98" s="65"/>
      <c r="ET98" s="13"/>
      <c r="EU98" s="14"/>
      <c r="EW98" s="65"/>
      <c r="EX98" s="13"/>
      <c r="EY98" s="14"/>
      <c r="FA98" s="65"/>
      <c r="FB98" s="13"/>
      <c r="FC98" s="14"/>
      <c r="FE98" s="65"/>
      <c r="FF98" s="13"/>
      <c r="FG98" s="14"/>
      <c r="FI98" s="65"/>
      <c r="FJ98" s="13"/>
      <c r="FK98" s="14"/>
      <c r="FM98" s="65"/>
      <c r="FN98" s="13"/>
      <c r="FO98" s="14"/>
      <c r="FQ98" s="65"/>
      <c r="FR98" s="13"/>
      <c r="FS98" s="14"/>
      <c r="FU98" s="65"/>
      <c r="FV98" s="13"/>
      <c r="FW98" s="14"/>
      <c r="FY98" s="65"/>
      <c r="FZ98" s="13"/>
      <c r="GA98" s="14"/>
      <c r="GC98" s="65"/>
      <c r="GD98" s="13"/>
      <c r="GE98" s="14"/>
      <c r="GG98" s="65"/>
      <c r="GH98" s="13"/>
      <c r="GI98" s="14"/>
      <c r="GK98" s="65"/>
      <c r="GL98" s="13"/>
      <c r="GM98" s="14"/>
      <c r="GO98" s="65"/>
      <c r="GP98" s="13"/>
      <c r="GQ98" s="14"/>
      <c r="GS98" s="65"/>
      <c r="GT98" s="13"/>
      <c r="GU98" s="14"/>
      <c r="GW98" s="65"/>
      <c r="GX98" s="13"/>
      <c r="GY98" s="14"/>
      <c r="HA98" s="65"/>
      <c r="HB98" s="13"/>
      <c r="HC98" s="14"/>
      <c r="HE98" s="65"/>
      <c r="HF98" s="13"/>
      <c r="HG98" s="14"/>
      <c r="HI98" s="65"/>
      <c r="HJ98" s="13"/>
      <c r="HK98" s="14"/>
      <c r="HM98" s="65"/>
      <c r="HN98" s="13"/>
      <c r="HO98" s="14"/>
      <c r="HQ98" s="65"/>
      <c r="HR98" s="13"/>
      <c r="HS98" s="14"/>
      <c r="HU98" s="65"/>
      <c r="HV98" s="13"/>
      <c r="HW98" s="14"/>
      <c r="HY98" s="65"/>
      <c r="HZ98" s="13"/>
      <c r="IA98" s="14"/>
      <c r="IC98" s="65"/>
      <c r="ID98" s="13"/>
      <c r="IE98" s="14"/>
      <c r="IG98" s="65"/>
      <c r="IH98" s="13"/>
      <c r="II98" s="14"/>
      <c r="IK98" s="65"/>
      <c r="IL98" s="13"/>
      <c r="IM98" s="14"/>
      <c r="IO98" s="65"/>
      <c r="IP98" s="13"/>
      <c r="IQ98" s="14"/>
      <c r="IS98" s="65"/>
      <c r="IT98" s="13"/>
      <c r="IU98" s="14"/>
      <c r="IW98" s="65"/>
      <c r="IX98" s="13"/>
      <c r="IY98" s="14"/>
      <c r="JA98" s="65"/>
      <c r="JB98" s="13"/>
      <c r="JC98" s="14"/>
      <c r="JE98" s="65"/>
      <c r="JF98" s="13"/>
      <c r="JG98" s="14"/>
      <c r="JI98" s="65"/>
      <c r="JJ98" s="13"/>
      <c r="JK98" s="14"/>
      <c r="JM98" s="65"/>
      <c r="JN98" s="13"/>
      <c r="JO98" s="14"/>
      <c r="JQ98" s="65"/>
      <c r="JR98" s="13"/>
      <c r="JS98" s="14"/>
      <c r="JU98" s="65"/>
      <c r="JV98" s="13"/>
      <c r="JW98" s="14"/>
      <c r="JY98" s="65"/>
      <c r="JZ98" s="13"/>
      <c r="KA98" s="14"/>
      <c r="KC98" s="65"/>
      <c r="KD98" s="13"/>
      <c r="KE98" s="14"/>
      <c r="KG98" s="65"/>
      <c r="KH98" s="13"/>
      <c r="KI98" s="14"/>
      <c r="KK98" s="65"/>
      <c r="KL98" s="13"/>
      <c r="KM98" s="14"/>
      <c r="KO98" s="65"/>
      <c r="KP98" s="13"/>
      <c r="KQ98" s="14"/>
      <c r="KS98" s="65"/>
      <c r="KT98" s="13"/>
      <c r="KU98" s="14"/>
      <c r="KW98" s="65"/>
      <c r="KX98" s="13"/>
      <c r="KY98" s="14"/>
      <c r="LA98" s="65"/>
      <c r="LB98" s="13"/>
      <c r="LC98" s="14"/>
      <c r="LE98" s="65"/>
      <c r="LF98" s="13"/>
      <c r="LG98" s="14"/>
      <c r="LI98" s="65"/>
      <c r="LJ98" s="13"/>
      <c r="LK98" s="14"/>
      <c r="LM98" s="65"/>
      <c r="LN98" s="13"/>
      <c r="LO98" s="14"/>
      <c r="LQ98" s="65"/>
      <c r="LR98" s="13"/>
      <c r="LS98" s="14"/>
      <c r="LU98" s="65"/>
      <c r="LV98" s="13"/>
      <c r="LW98" s="14"/>
      <c r="LY98" s="65"/>
      <c r="LZ98" s="13"/>
      <c r="MA98" s="14"/>
      <c r="MC98" s="65"/>
      <c r="MD98" s="13"/>
      <c r="ME98" s="14"/>
      <c r="MG98" s="65"/>
      <c r="MH98" s="13"/>
      <c r="MI98" s="14"/>
      <c r="MK98" s="65"/>
      <c r="ML98" s="13"/>
      <c r="MM98" s="14"/>
      <c r="MO98" s="65"/>
      <c r="MP98" s="13"/>
      <c r="MQ98" s="14"/>
      <c r="MS98" s="65"/>
      <c r="MT98" s="13"/>
      <c r="MU98" s="14"/>
    </row>
    <row r="99" spans="1:359" x14ac:dyDescent="0.25">
      <c r="A99" s="15">
        <f t="shared" si="171"/>
        <v>733954.27360224957</v>
      </c>
      <c r="B99" s="20">
        <v>42793</v>
      </c>
      <c r="D99" s="12">
        <v>77</v>
      </c>
      <c r="E99" s="12">
        <v>1142065.7035126337</v>
      </c>
      <c r="F99" s="14">
        <v>42523</v>
      </c>
      <c r="I99" s="12"/>
      <c r="J99" s="13"/>
      <c r="K99" s="14"/>
      <c r="N99" s="12">
        <f t="shared" si="182"/>
        <v>7</v>
      </c>
      <c r="O99" s="13">
        <f t="shared" si="172"/>
        <v>733954.27360224957</v>
      </c>
      <c r="P99" s="14">
        <v>42793</v>
      </c>
      <c r="T99" s="15"/>
      <c r="U99" s="20"/>
      <c r="W99" s="12"/>
      <c r="X99" s="12"/>
      <c r="Y99" s="14"/>
      <c r="AB99" s="12"/>
      <c r="AC99" s="13"/>
      <c r="AD99" s="14"/>
      <c r="AG99" s="12"/>
      <c r="AH99" s="13"/>
      <c r="AI99" s="14"/>
      <c r="AK99" s="12"/>
      <c r="AL99" s="13"/>
      <c r="AM99" s="14"/>
      <c r="CK99" s="65"/>
      <c r="CL99" s="13"/>
      <c r="CO99" s="65"/>
      <c r="CP99" s="13"/>
      <c r="CS99" s="65"/>
      <c r="CT99" s="13"/>
      <c r="CW99" s="65"/>
      <c r="CX99" s="13"/>
      <c r="DA99" s="65"/>
      <c r="DB99" s="13"/>
      <c r="DE99" s="65"/>
      <c r="DF99" s="13"/>
      <c r="DI99" s="65"/>
      <c r="DJ99" s="13"/>
      <c r="DM99" s="65"/>
      <c r="DN99" s="13"/>
      <c r="DQ99" s="65"/>
      <c r="DR99" s="13"/>
      <c r="DU99" s="65">
        <f t="shared" si="184"/>
        <v>1</v>
      </c>
      <c r="DV99" s="13">
        <f t="shared" si="174"/>
        <v>2338518.6057690559</v>
      </c>
      <c r="DW99" s="14">
        <v>43101</v>
      </c>
      <c r="DY99" s="65">
        <f t="shared" si="185"/>
        <v>12</v>
      </c>
      <c r="DZ99" s="13">
        <f t="shared" si="175"/>
        <v>794980.48296880745</v>
      </c>
      <c r="EA99" s="14">
        <v>43104</v>
      </c>
      <c r="EC99" s="65"/>
      <c r="ED99" s="13"/>
      <c r="EE99" s="14"/>
      <c r="EG99" s="65"/>
      <c r="EH99" s="13"/>
      <c r="EI99" s="14"/>
      <c r="EK99" s="65"/>
      <c r="EL99" s="13"/>
      <c r="EM99" s="14"/>
      <c r="EO99" s="65"/>
      <c r="EP99" s="13"/>
      <c r="EQ99" s="14"/>
      <c r="ES99" s="65"/>
      <c r="ET99" s="13"/>
      <c r="EU99" s="14"/>
      <c r="EW99" s="65"/>
      <c r="EX99" s="13"/>
      <c r="EY99" s="14"/>
      <c r="FA99" s="65"/>
      <c r="FB99" s="13"/>
      <c r="FC99" s="14"/>
      <c r="FE99" s="65"/>
      <c r="FF99" s="13"/>
      <c r="FG99" s="14"/>
      <c r="FI99" s="65"/>
      <c r="FJ99" s="13"/>
      <c r="FK99" s="14"/>
      <c r="FM99" s="65"/>
      <c r="FN99" s="13"/>
      <c r="FO99" s="14"/>
      <c r="FQ99" s="65"/>
      <c r="FR99" s="13"/>
      <c r="FS99" s="14"/>
      <c r="FU99" s="65"/>
      <c r="FV99" s="13"/>
      <c r="FW99" s="14"/>
      <c r="FY99" s="65"/>
      <c r="FZ99" s="13"/>
      <c r="GA99" s="14"/>
      <c r="GC99" s="65"/>
      <c r="GD99" s="13"/>
      <c r="GE99" s="14"/>
      <c r="GG99" s="65"/>
      <c r="GH99" s="13"/>
      <c r="GI99" s="14"/>
      <c r="GK99" s="65"/>
      <c r="GL99" s="13"/>
      <c r="GM99" s="14"/>
      <c r="GO99" s="65"/>
      <c r="GP99" s="13"/>
      <c r="GQ99" s="14"/>
      <c r="GS99" s="65"/>
      <c r="GT99" s="13"/>
      <c r="GU99" s="14"/>
      <c r="GW99" s="65"/>
      <c r="GX99" s="13"/>
      <c r="GY99" s="14"/>
      <c r="HA99" s="65"/>
      <c r="HB99" s="13"/>
      <c r="HC99" s="14"/>
      <c r="HE99" s="65"/>
      <c r="HF99" s="13"/>
      <c r="HG99" s="14"/>
      <c r="HI99" s="65"/>
      <c r="HJ99" s="13"/>
      <c r="HK99" s="14"/>
      <c r="HM99" s="65"/>
      <c r="HN99" s="13"/>
      <c r="HO99" s="14"/>
      <c r="HQ99" s="65"/>
      <c r="HR99" s="13"/>
      <c r="HS99" s="14"/>
      <c r="HU99" s="65"/>
      <c r="HV99" s="13"/>
      <c r="HW99" s="14"/>
      <c r="HY99" s="65"/>
      <c r="HZ99" s="13"/>
      <c r="IA99" s="14"/>
      <c r="IC99" s="65"/>
      <c r="ID99" s="13"/>
      <c r="IE99" s="14"/>
      <c r="IG99" s="65"/>
      <c r="IH99" s="13"/>
      <c r="II99" s="14"/>
      <c r="IK99" s="65"/>
      <c r="IL99" s="13"/>
      <c r="IM99" s="14"/>
      <c r="IO99" s="65"/>
      <c r="IP99" s="13"/>
      <c r="IQ99" s="14"/>
      <c r="IS99" s="65"/>
      <c r="IT99" s="13"/>
      <c r="IU99" s="14"/>
      <c r="IW99" s="65"/>
      <c r="IX99" s="13"/>
      <c r="IY99" s="14"/>
      <c r="JA99" s="65"/>
      <c r="JB99" s="13"/>
      <c r="JC99" s="14"/>
      <c r="JE99" s="65"/>
      <c r="JF99" s="13"/>
      <c r="JG99" s="14"/>
      <c r="JI99" s="65"/>
      <c r="JJ99" s="13"/>
      <c r="JK99" s="14"/>
      <c r="JM99" s="65"/>
      <c r="JN99" s="13"/>
      <c r="JO99" s="14"/>
      <c r="JQ99" s="65"/>
      <c r="JR99" s="13"/>
      <c r="JS99" s="14"/>
      <c r="JU99" s="65"/>
      <c r="JV99" s="13"/>
      <c r="JW99" s="14"/>
      <c r="JY99" s="65"/>
      <c r="JZ99" s="13"/>
      <c r="KA99" s="14"/>
      <c r="KC99" s="65"/>
      <c r="KD99" s="13"/>
      <c r="KE99" s="14"/>
      <c r="KG99" s="65"/>
      <c r="KH99" s="13"/>
      <c r="KI99" s="14"/>
      <c r="KK99" s="65"/>
      <c r="KL99" s="13"/>
      <c r="KM99" s="14"/>
      <c r="KO99" s="65"/>
      <c r="KP99" s="13"/>
      <c r="KQ99" s="14"/>
      <c r="KS99" s="65"/>
      <c r="KT99" s="13"/>
      <c r="KU99" s="14"/>
      <c r="KW99" s="65"/>
      <c r="KX99" s="13"/>
      <c r="KY99" s="14"/>
      <c r="LA99" s="65"/>
      <c r="LB99" s="13"/>
      <c r="LC99" s="14"/>
      <c r="LE99" s="65"/>
      <c r="LF99" s="13"/>
      <c r="LG99" s="14"/>
      <c r="LI99" s="65"/>
      <c r="LJ99" s="13"/>
      <c r="LK99" s="14"/>
      <c r="LM99" s="65"/>
      <c r="LN99" s="13"/>
      <c r="LO99" s="14"/>
      <c r="LQ99" s="65"/>
      <c r="LR99" s="13"/>
      <c r="LS99" s="14"/>
      <c r="LU99" s="65"/>
      <c r="LV99" s="13"/>
      <c r="LW99" s="14"/>
      <c r="LY99" s="65"/>
      <c r="LZ99" s="13"/>
      <c r="MA99" s="14"/>
      <c r="MC99" s="65"/>
      <c r="MD99" s="13"/>
      <c r="ME99" s="14"/>
      <c r="MG99" s="65"/>
      <c r="MH99" s="13"/>
      <c r="MI99" s="14"/>
      <c r="MK99" s="65"/>
      <c r="ML99" s="13"/>
      <c r="MM99" s="14"/>
      <c r="MO99" s="65"/>
      <c r="MP99" s="13"/>
      <c r="MQ99" s="14"/>
      <c r="MS99" s="65"/>
      <c r="MT99" s="13"/>
      <c r="MU99" s="14"/>
    </row>
    <row r="100" spans="1:359" x14ac:dyDescent="0.25">
      <c r="A100" s="15">
        <f t="shared" si="171"/>
        <v>733983.72604081593</v>
      </c>
      <c r="B100" s="20">
        <v>42794</v>
      </c>
      <c r="D100" s="12">
        <v>76</v>
      </c>
      <c r="E100" s="12">
        <v>1142092.9146234242</v>
      </c>
      <c r="F100" s="14">
        <v>42524</v>
      </c>
      <c r="I100" s="12"/>
      <c r="J100" s="13"/>
      <c r="K100" s="14"/>
      <c r="N100" s="12">
        <f t="shared" si="182"/>
        <v>6</v>
      </c>
      <c r="O100" s="13">
        <f t="shared" si="172"/>
        <v>733983.72604081593</v>
      </c>
      <c r="P100" s="14">
        <v>42794</v>
      </c>
      <c r="T100" s="15"/>
      <c r="U100" s="20"/>
      <c r="W100" s="12"/>
      <c r="X100" s="12"/>
      <c r="Y100" s="14"/>
      <c r="AB100" s="12"/>
      <c r="AC100" s="13"/>
      <c r="AD100" s="14"/>
      <c r="AG100" s="12"/>
      <c r="AH100" s="13"/>
      <c r="AI100" s="14"/>
      <c r="AK100" s="12"/>
      <c r="AL100" s="13"/>
      <c r="AM100" s="14"/>
      <c r="CK100" s="65"/>
      <c r="CL100" s="13"/>
      <c r="CO100" s="65"/>
      <c r="CP100" s="13"/>
      <c r="CS100" s="65"/>
      <c r="CT100" s="13"/>
      <c r="CW100" s="65"/>
      <c r="CX100" s="13"/>
      <c r="DA100" s="65"/>
      <c r="DB100" s="13"/>
      <c r="DE100" s="65"/>
      <c r="DF100" s="13"/>
      <c r="DI100" s="65"/>
      <c r="DJ100" s="13"/>
      <c r="DM100" s="65"/>
      <c r="DN100" s="13"/>
      <c r="DQ100" s="65"/>
      <c r="DR100" s="13"/>
      <c r="DU100" s="65">
        <f t="shared" si="184"/>
        <v>0</v>
      </c>
      <c r="DV100" s="13">
        <f>($DW$2/(1+$DW$4*DU100/360))*0</f>
        <v>0</v>
      </c>
      <c r="DW100" s="14">
        <v>43102</v>
      </c>
      <c r="DY100" s="65">
        <f t="shared" si="185"/>
        <v>11</v>
      </c>
      <c r="DZ100" s="13">
        <f t="shared" si="175"/>
        <v>795022.22388196492</v>
      </c>
      <c r="EA100" s="14">
        <v>43105</v>
      </c>
      <c r="EC100" s="65"/>
      <c r="ED100" s="13"/>
      <c r="EE100" s="14"/>
      <c r="EG100" s="65"/>
      <c r="EH100" s="13"/>
      <c r="EI100" s="14"/>
      <c r="EK100" s="65"/>
      <c r="EL100" s="13"/>
      <c r="EM100" s="14"/>
      <c r="EO100" s="65"/>
      <c r="EP100" s="13"/>
      <c r="EQ100" s="14"/>
      <c r="ES100" s="65"/>
      <c r="ET100" s="13"/>
      <c r="EU100" s="14"/>
      <c r="EW100" s="65"/>
      <c r="EX100" s="13"/>
      <c r="EY100" s="14"/>
      <c r="FA100" s="65"/>
      <c r="FB100" s="13"/>
      <c r="FC100" s="14"/>
      <c r="FE100" s="65"/>
      <c r="FF100" s="13"/>
      <c r="FG100" s="14"/>
      <c r="FI100" s="65"/>
      <c r="FJ100" s="13"/>
      <c r="FK100" s="14"/>
      <c r="FM100" s="65"/>
      <c r="FN100" s="13"/>
      <c r="FO100" s="14"/>
      <c r="FQ100" s="65"/>
      <c r="FR100" s="13"/>
      <c r="FS100" s="14"/>
      <c r="FU100" s="65"/>
      <c r="FV100" s="13"/>
      <c r="FW100" s="14"/>
      <c r="FY100" s="65"/>
      <c r="FZ100" s="13"/>
      <c r="GA100" s="14"/>
      <c r="GC100" s="65"/>
      <c r="GD100" s="13"/>
      <c r="GE100" s="14"/>
      <c r="GG100" s="65"/>
      <c r="GH100" s="13"/>
      <c r="GI100" s="14"/>
      <c r="GK100" s="65"/>
      <c r="GL100" s="13"/>
      <c r="GM100" s="14"/>
      <c r="GO100" s="65"/>
      <c r="GP100" s="13"/>
      <c r="GQ100" s="14"/>
      <c r="GS100" s="65"/>
      <c r="GT100" s="13"/>
      <c r="GU100" s="14"/>
      <c r="GW100" s="65"/>
      <c r="GX100" s="13"/>
      <c r="GY100" s="14"/>
      <c r="HA100" s="65"/>
      <c r="HB100" s="13"/>
      <c r="HC100" s="14"/>
      <c r="HE100" s="65"/>
      <c r="HF100" s="13"/>
      <c r="HG100" s="14"/>
      <c r="HI100" s="65"/>
      <c r="HJ100" s="13"/>
      <c r="HK100" s="14"/>
      <c r="HM100" s="65"/>
      <c r="HN100" s="13"/>
      <c r="HO100" s="14"/>
      <c r="HQ100" s="65"/>
      <c r="HR100" s="13"/>
      <c r="HS100" s="14"/>
      <c r="HU100" s="65"/>
      <c r="HV100" s="13"/>
      <c r="HW100" s="14"/>
      <c r="HY100" s="65"/>
      <c r="HZ100" s="13"/>
      <c r="IA100" s="14"/>
      <c r="IC100" s="65"/>
      <c r="ID100" s="13"/>
      <c r="IE100" s="14"/>
      <c r="IG100" s="65"/>
      <c r="IH100" s="13"/>
      <c r="II100" s="14"/>
      <c r="IK100" s="65"/>
      <c r="IL100" s="13"/>
      <c r="IM100" s="14"/>
      <c r="IO100" s="65"/>
      <c r="IP100" s="13"/>
      <c r="IQ100" s="14"/>
      <c r="IS100" s="65"/>
      <c r="IT100" s="13"/>
      <c r="IU100" s="14"/>
      <c r="IW100" s="65"/>
      <c r="IX100" s="13"/>
      <c r="IY100" s="14"/>
      <c r="JA100" s="65"/>
      <c r="JB100" s="13"/>
      <c r="JC100" s="14"/>
      <c r="JE100" s="65"/>
      <c r="JF100" s="13"/>
      <c r="JG100" s="14"/>
      <c r="JI100" s="65"/>
      <c r="JJ100" s="13"/>
      <c r="JK100" s="14"/>
      <c r="JM100" s="65"/>
      <c r="JN100" s="13"/>
      <c r="JO100" s="14"/>
      <c r="JQ100" s="65"/>
      <c r="JR100" s="13"/>
      <c r="JS100" s="14"/>
      <c r="JU100" s="65"/>
      <c r="JV100" s="13"/>
      <c r="JW100" s="14"/>
      <c r="JY100" s="65"/>
      <c r="JZ100" s="13"/>
      <c r="KA100" s="14"/>
      <c r="KC100" s="65"/>
      <c r="KD100" s="13"/>
      <c r="KE100" s="14"/>
      <c r="KG100" s="65"/>
      <c r="KH100" s="13"/>
      <c r="KI100" s="14"/>
      <c r="KK100" s="65"/>
      <c r="KL100" s="13"/>
      <c r="KM100" s="14"/>
      <c r="KO100" s="65"/>
      <c r="KP100" s="13"/>
      <c r="KQ100" s="14"/>
      <c r="KS100" s="65"/>
      <c r="KT100" s="13"/>
      <c r="KU100" s="14"/>
      <c r="KW100" s="65"/>
      <c r="KX100" s="13"/>
      <c r="KY100" s="14"/>
      <c r="LA100" s="65"/>
      <c r="LB100" s="13"/>
      <c r="LC100" s="14"/>
      <c r="LE100" s="65"/>
      <c r="LF100" s="13"/>
      <c r="LG100" s="14"/>
      <c r="LI100" s="65"/>
      <c r="LJ100" s="13"/>
      <c r="LK100" s="14"/>
      <c r="LM100" s="65"/>
      <c r="LN100" s="13"/>
      <c r="LO100" s="14"/>
      <c r="LQ100" s="65"/>
      <c r="LR100" s="13"/>
      <c r="LS100" s="14"/>
      <c r="LU100" s="65"/>
      <c r="LV100" s="13"/>
      <c r="LW100" s="14"/>
      <c r="LY100" s="65"/>
      <c r="LZ100" s="13"/>
      <c r="MA100" s="14"/>
      <c r="MC100" s="65"/>
      <c r="MD100" s="13"/>
      <c r="ME100" s="14"/>
      <c r="MG100" s="65"/>
      <c r="MH100" s="13"/>
      <c r="MI100" s="14"/>
      <c r="MK100" s="65"/>
      <c r="ML100" s="13"/>
      <c r="MM100" s="14"/>
      <c r="MO100" s="65"/>
      <c r="MP100" s="13"/>
      <c r="MQ100" s="14"/>
      <c r="MS100" s="65"/>
      <c r="MT100" s="13"/>
      <c r="MU100" s="14"/>
    </row>
    <row r="101" spans="1:359" x14ac:dyDescent="0.25">
      <c r="A101" s="15">
        <f t="shared" si="171"/>
        <v>734013.18084323767</v>
      </c>
      <c r="B101" s="20">
        <v>42795</v>
      </c>
      <c r="D101" s="12">
        <v>75</v>
      </c>
      <c r="E101" s="12">
        <v>1142120.1270309214</v>
      </c>
      <c r="F101" s="14">
        <v>42525</v>
      </c>
      <c r="I101" s="12"/>
      <c r="J101" s="13"/>
      <c r="K101" s="14"/>
      <c r="N101" s="12">
        <f t="shared" si="182"/>
        <v>5</v>
      </c>
      <c r="O101" s="13">
        <f t="shared" si="172"/>
        <v>734013.18084323767</v>
      </c>
      <c r="P101" s="14">
        <v>42795</v>
      </c>
      <c r="T101" s="15"/>
      <c r="U101" s="20"/>
      <c r="W101" s="12"/>
      <c r="X101" s="12"/>
      <c r="Y101" s="14"/>
      <c r="AB101" s="12"/>
      <c r="AC101" s="13"/>
      <c r="AD101" s="14"/>
      <c r="AG101" s="12"/>
      <c r="AH101" s="13"/>
      <c r="AI101" s="14"/>
      <c r="AK101" s="12"/>
      <c r="AL101" s="13"/>
      <c r="AM101" s="14"/>
      <c r="CK101" s="65"/>
      <c r="CL101" s="13"/>
      <c r="CO101" s="65"/>
      <c r="CP101" s="13"/>
      <c r="CS101" s="65"/>
      <c r="CT101" s="13"/>
      <c r="CW101" s="65"/>
      <c r="CX101" s="13"/>
      <c r="DA101" s="65"/>
      <c r="DB101" s="13"/>
      <c r="DE101" s="65"/>
      <c r="DF101" s="13"/>
      <c r="DI101" s="65"/>
      <c r="DJ101" s="13"/>
      <c r="DM101" s="65"/>
      <c r="DN101" s="13"/>
      <c r="DQ101" s="65"/>
      <c r="DR101" s="13"/>
      <c r="DU101" s="65"/>
      <c r="DV101" s="13"/>
      <c r="DY101" s="65">
        <f t="shared" si="185"/>
        <v>10</v>
      </c>
      <c r="DZ101" s="13">
        <f t="shared" si="175"/>
        <v>795063.96917861421</v>
      </c>
      <c r="EA101" s="14">
        <v>43106</v>
      </c>
      <c r="EC101" s="65"/>
      <c r="ED101" s="13"/>
      <c r="EE101" s="14"/>
      <c r="EG101" s="65"/>
      <c r="EH101" s="13"/>
      <c r="EI101" s="14"/>
      <c r="EK101" s="65"/>
      <c r="EL101" s="13"/>
      <c r="EM101" s="14"/>
      <c r="EO101" s="65"/>
      <c r="EP101" s="13"/>
      <c r="EQ101" s="14"/>
      <c r="ES101" s="65"/>
      <c r="ET101" s="13"/>
      <c r="EU101" s="14"/>
      <c r="EW101" s="65"/>
      <c r="EX101" s="13"/>
      <c r="EY101" s="14"/>
      <c r="FA101" s="65"/>
      <c r="FB101" s="13"/>
      <c r="FC101" s="14"/>
      <c r="FE101" s="65"/>
      <c r="FF101" s="13"/>
      <c r="FG101" s="14"/>
      <c r="FI101" s="65"/>
      <c r="FJ101" s="13"/>
      <c r="FK101" s="14"/>
      <c r="FM101" s="65"/>
      <c r="FN101" s="13"/>
      <c r="FO101" s="14"/>
      <c r="FQ101" s="65"/>
      <c r="FR101" s="13"/>
      <c r="FS101" s="14"/>
      <c r="FU101" s="65"/>
      <c r="FV101" s="13"/>
      <c r="FW101" s="14"/>
      <c r="FY101" s="65"/>
      <c r="FZ101" s="13"/>
      <c r="GA101" s="14"/>
      <c r="GC101" s="65"/>
      <c r="GD101" s="13"/>
      <c r="GE101" s="14"/>
      <c r="GG101" s="65"/>
      <c r="GH101" s="13"/>
      <c r="GI101" s="14"/>
      <c r="GK101" s="65"/>
      <c r="GL101" s="13"/>
      <c r="GM101" s="14"/>
      <c r="GO101" s="65"/>
      <c r="GP101" s="13"/>
      <c r="GQ101" s="14"/>
      <c r="GS101" s="65"/>
      <c r="GT101" s="13"/>
      <c r="GU101" s="14"/>
      <c r="GW101" s="65"/>
      <c r="GX101" s="13"/>
      <c r="GY101" s="14"/>
      <c r="HA101" s="65"/>
      <c r="HB101" s="13"/>
      <c r="HC101" s="14"/>
      <c r="HE101" s="65"/>
      <c r="HF101" s="13"/>
      <c r="HG101" s="14"/>
      <c r="HI101" s="65"/>
      <c r="HJ101" s="13"/>
      <c r="HK101" s="14"/>
      <c r="HM101" s="65"/>
      <c r="HN101" s="13"/>
      <c r="HO101" s="14"/>
      <c r="HQ101" s="65"/>
      <c r="HR101" s="13"/>
      <c r="HS101" s="14"/>
      <c r="HU101" s="65"/>
      <c r="HV101" s="13"/>
      <c r="HW101" s="14"/>
      <c r="HY101" s="65"/>
      <c r="HZ101" s="13"/>
      <c r="IA101" s="14"/>
      <c r="IC101" s="65"/>
      <c r="ID101" s="13"/>
      <c r="IE101" s="14"/>
      <c r="IG101" s="65"/>
      <c r="IH101" s="13"/>
      <c r="II101" s="14"/>
      <c r="IK101" s="65"/>
      <c r="IL101" s="13"/>
      <c r="IM101" s="14"/>
      <c r="IO101" s="65"/>
      <c r="IP101" s="13"/>
      <c r="IQ101" s="14"/>
      <c r="IS101" s="65"/>
      <c r="IT101" s="13"/>
      <c r="IU101" s="14"/>
      <c r="IW101" s="65"/>
      <c r="IX101" s="13"/>
      <c r="IY101" s="14"/>
      <c r="JA101" s="65"/>
      <c r="JB101" s="13"/>
      <c r="JC101" s="14"/>
      <c r="JE101" s="65"/>
      <c r="JF101" s="13"/>
      <c r="JG101" s="14"/>
      <c r="JI101" s="65"/>
      <c r="JJ101" s="13"/>
      <c r="JK101" s="14"/>
      <c r="JM101" s="65"/>
      <c r="JN101" s="13"/>
      <c r="JO101" s="14"/>
      <c r="JQ101" s="65"/>
      <c r="JR101" s="13"/>
      <c r="JS101" s="14"/>
      <c r="JU101" s="65"/>
      <c r="JV101" s="13"/>
      <c r="JW101" s="14"/>
      <c r="JY101" s="65"/>
      <c r="JZ101" s="13"/>
      <c r="KA101" s="14"/>
      <c r="KC101" s="65"/>
      <c r="KD101" s="13"/>
      <c r="KE101" s="14"/>
      <c r="KG101" s="65"/>
      <c r="KH101" s="13"/>
      <c r="KI101" s="14"/>
      <c r="KK101" s="65"/>
      <c r="KL101" s="13"/>
      <c r="KM101" s="14"/>
      <c r="KO101" s="65"/>
      <c r="KP101" s="13"/>
      <c r="KQ101" s="14"/>
      <c r="KS101" s="65"/>
      <c r="KT101" s="13"/>
      <c r="KU101" s="14"/>
      <c r="KW101" s="65"/>
      <c r="KX101" s="13"/>
      <c r="KY101" s="14"/>
      <c r="LA101" s="65"/>
      <c r="LB101" s="13"/>
      <c r="LC101" s="14"/>
      <c r="LE101" s="65"/>
      <c r="LF101" s="13"/>
      <c r="LG101" s="14"/>
      <c r="LI101" s="65"/>
      <c r="LJ101" s="13"/>
      <c r="LK101" s="14"/>
      <c r="LM101" s="65"/>
      <c r="LN101" s="13"/>
      <c r="LO101" s="14"/>
      <c r="LQ101" s="65"/>
      <c r="LR101" s="13"/>
      <c r="LS101" s="14"/>
      <c r="LU101" s="65"/>
      <c r="LV101" s="13"/>
      <c r="LW101" s="14"/>
      <c r="LY101" s="65"/>
      <c r="LZ101" s="13"/>
      <c r="MA101" s="14"/>
      <c r="MC101" s="65"/>
      <c r="MD101" s="13"/>
      <c r="ME101" s="14"/>
      <c r="MG101" s="65"/>
      <c r="MH101" s="13"/>
      <c r="MI101" s="14"/>
      <c r="MK101" s="65"/>
      <c r="ML101" s="13"/>
      <c r="MM101" s="14"/>
      <c r="MO101" s="65"/>
      <c r="MP101" s="13"/>
      <c r="MQ101" s="14"/>
      <c r="MS101" s="65"/>
      <c r="MT101" s="13"/>
      <c r="MU101" s="14"/>
    </row>
    <row r="102" spans="1:359" x14ac:dyDescent="0.25">
      <c r="A102" s="15">
        <f t="shared" si="171"/>
        <v>734042.63800979964</v>
      </c>
      <c r="B102" s="20">
        <v>42796</v>
      </c>
      <c r="D102" s="12">
        <v>74</v>
      </c>
      <c r="E102" s="12">
        <v>1142147.3407352183</v>
      </c>
      <c r="F102" s="14">
        <v>42526</v>
      </c>
      <c r="I102" s="12"/>
      <c r="J102" s="13"/>
      <c r="K102" s="14"/>
      <c r="N102" s="12">
        <f t="shared" si="182"/>
        <v>4</v>
      </c>
      <c r="O102" s="13">
        <f t="shared" si="172"/>
        <v>734042.63800979964</v>
      </c>
      <c r="P102" s="14">
        <v>42796</v>
      </c>
      <c r="T102" s="15"/>
      <c r="U102" s="20"/>
      <c r="W102" s="12"/>
      <c r="X102" s="12"/>
      <c r="Y102" s="14"/>
      <c r="AB102" s="12"/>
      <c r="AC102" s="13"/>
      <c r="AD102" s="14"/>
      <c r="AG102" s="12"/>
      <c r="AH102" s="13"/>
      <c r="AI102" s="14"/>
      <c r="AK102" s="12"/>
      <c r="AL102" s="13"/>
      <c r="AM102" s="14"/>
      <c r="CK102" s="65"/>
      <c r="CL102" s="13"/>
      <c r="CO102" s="65"/>
      <c r="CP102" s="13"/>
      <c r="CS102" s="65"/>
      <c r="CT102" s="13"/>
      <c r="CW102" s="65"/>
      <c r="CX102" s="13"/>
      <c r="DA102" s="65"/>
      <c r="DB102" s="13"/>
      <c r="DE102" s="65"/>
      <c r="DF102" s="13"/>
      <c r="DI102" s="65"/>
      <c r="DJ102" s="13"/>
      <c r="DM102" s="65"/>
      <c r="DN102" s="13"/>
      <c r="DQ102" s="65"/>
      <c r="DR102" s="13"/>
      <c r="DU102" s="65"/>
      <c r="DV102" s="13"/>
      <c r="DY102" s="65">
        <f t="shared" si="185"/>
        <v>9</v>
      </c>
      <c r="DZ102" s="13">
        <f t="shared" si="175"/>
        <v>795105.71885944635</v>
      </c>
      <c r="EA102" s="14">
        <v>43107</v>
      </c>
      <c r="EC102" s="65"/>
      <c r="ED102" s="13"/>
      <c r="EE102" s="14"/>
      <c r="EG102" s="65"/>
      <c r="EH102" s="13"/>
      <c r="EI102" s="14"/>
      <c r="EK102" s="65"/>
      <c r="EL102" s="13"/>
      <c r="EM102" s="14"/>
      <c r="EO102" s="65"/>
      <c r="EP102" s="13"/>
      <c r="EQ102" s="14"/>
      <c r="ES102" s="65"/>
      <c r="ET102" s="13"/>
      <c r="EU102" s="14"/>
      <c r="EW102" s="65"/>
      <c r="EX102" s="13"/>
      <c r="EY102" s="14"/>
      <c r="FA102" s="65"/>
      <c r="FB102" s="13"/>
      <c r="FC102" s="14"/>
      <c r="FE102" s="65"/>
      <c r="FF102" s="13"/>
      <c r="FG102" s="14"/>
      <c r="FI102" s="65"/>
      <c r="FJ102" s="13"/>
      <c r="FK102" s="14"/>
      <c r="FM102" s="65"/>
      <c r="FN102" s="13"/>
      <c r="FO102" s="14"/>
      <c r="FQ102" s="65"/>
      <c r="FR102" s="13"/>
      <c r="FS102" s="14"/>
      <c r="FU102" s="65"/>
      <c r="FV102" s="13"/>
      <c r="FW102" s="14"/>
      <c r="FY102" s="65"/>
      <c r="FZ102" s="13"/>
      <c r="GA102" s="14"/>
      <c r="GC102" s="65"/>
      <c r="GD102" s="13"/>
      <c r="GE102" s="14"/>
      <c r="GG102" s="65"/>
      <c r="GH102" s="13"/>
      <c r="GI102" s="14"/>
      <c r="GK102" s="65"/>
      <c r="GL102" s="13"/>
      <c r="GM102" s="14"/>
      <c r="GO102" s="65"/>
      <c r="GP102" s="13"/>
      <c r="GQ102" s="14"/>
      <c r="GS102" s="65"/>
      <c r="GT102" s="13"/>
      <c r="GU102" s="14"/>
      <c r="GW102" s="65"/>
      <c r="GX102" s="13"/>
      <c r="GY102" s="14"/>
      <c r="HA102" s="65"/>
      <c r="HB102" s="13"/>
      <c r="HC102" s="14"/>
      <c r="HE102" s="65"/>
      <c r="HF102" s="13"/>
      <c r="HG102" s="14"/>
      <c r="HI102" s="65"/>
      <c r="HJ102" s="13"/>
      <c r="HK102" s="14"/>
      <c r="HM102" s="65"/>
      <c r="HN102" s="13"/>
      <c r="HO102" s="14"/>
      <c r="HQ102" s="65"/>
      <c r="HR102" s="13"/>
      <c r="HS102" s="14"/>
      <c r="HU102" s="65"/>
      <c r="HV102" s="13"/>
      <c r="HW102" s="14"/>
      <c r="HY102" s="65"/>
      <c r="HZ102" s="13"/>
      <c r="IA102" s="14"/>
      <c r="IC102" s="65"/>
      <c r="ID102" s="13"/>
      <c r="IE102" s="14"/>
      <c r="IG102" s="65"/>
      <c r="IH102" s="13"/>
      <c r="II102" s="14"/>
      <c r="IK102" s="65"/>
      <c r="IL102" s="13"/>
      <c r="IM102" s="14"/>
      <c r="IO102" s="65"/>
      <c r="IP102" s="13"/>
      <c r="IQ102" s="14"/>
      <c r="IS102" s="65"/>
      <c r="IT102" s="13"/>
      <c r="IU102" s="14"/>
      <c r="IW102" s="65"/>
      <c r="IX102" s="13"/>
      <c r="IY102" s="14"/>
      <c r="JA102" s="65"/>
      <c r="JB102" s="13"/>
      <c r="JC102" s="14"/>
      <c r="JE102" s="65"/>
      <c r="JF102" s="13"/>
      <c r="JG102" s="14"/>
      <c r="JI102" s="65"/>
      <c r="JJ102" s="13"/>
      <c r="JK102" s="14"/>
      <c r="JM102" s="65"/>
      <c r="JN102" s="13"/>
      <c r="JO102" s="14"/>
      <c r="JQ102" s="65"/>
      <c r="JR102" s="13"/>
      <c r="JS102" s="14"/>
      <c r="JU102" s="65"/>
      <c r="JV102" s="13"/>
      <c r="JW102" s="14"/>
      <c r="JY102" s="65"/>
      <c r="JZ102" s="13"/>
      <c r="KA102" s="14"/>
      <c r="KC102" s="65"/>
      <c r="KD102" s="13"/>
      <c r="KE102" s="14"/>
      <c r="KG102" s="65"/>
      <c r="KH102" s="13"/>
      <c r="KI102" s="14"/>
      <c r="KK102" s="65"/>
      <c r="KL102" s="13"/>
      <c r="KM102" s="14"/>
      <c r="KO102" s="65"/>
      <c r="KP102" s="13"/>
      <c r="KQ102" s="14"/>
      <c r="KS102" s="65"/>
      <c r="KT102" s="13"/>
      <c r="KU102" s="14"/>
      <c r="KW102" s="65"/>
      <c r="KX102" s="13"/>
      <c r="KY102" s="14"/>
      <c r="LA102" s="65"/>
      <c r="LB102" s="13"/>
      <c r="LC102" s="14"/>
      <c r="LE102" s="65"/>
      <c r="LF102" s="13"/>
      <c r="LG102" s="14"/>
      <c r="LI102" s="65"/>
      <c r="LJ102" s="13"/>
      <c r="LK102" s="14"/>
      <c r="LM102" s="65"/>
      <c r="LN102" s="13"/>
      <c r="LO102" s="14"/>
      <c r="LQ102" s="65"/>
      <c r="LR102" s="13"/>
      <c r="LS102" s="14"/>
      <c r="LU102" s="65"/>
      <c r="LV102" s="13"/>
      <c r="LW102" s="14"/>
      <c r="LY102" s="65"/>
      <c r="LZ102" s="13"/>
      <c r="MA102" s="14"/>
      <c r="MC102" s="65"/>
      <c r="MD102" s="13"/>
      <c r="ME102" s="14"/>
      <c r="MG102" s="65"/>
      <c r="MH102" s="13"/>
      <c r="MI102" s="14"/>
      <c r="MK102" s="65"/>
      <c r="ML102" s="13"/>
      <c r="MM102" s="14"/>
      <c r="MO102" s="65"/>
      <c r="MP102" s="13"/>
      <c r="MQ102" s="14"/>
      <c r="MS102" s="65"/>
      <c r="MT102" s="13"/>
      <c r="MU102" s="14"/>
    </row>
    <row r="103" spans="1:359" x14ac:dyDescent="0.25">
      <c r="A103" s="15">
        <f t="shared" si="171"/>
        <v>734072.09754078626</v>
      </c>
      <c r="B103" s="20">
        <v>42797</v>
      </c>
      <c r="D103" s="12">
        <v>73</v>
      </c>
      <c r="E103" s="12">
        <v>1142174.5557364076</v>
      </c>
      <c r="F103" s="14">
        <v>42527</v>
      </c>
      <c r="I103" s="12"/>
      <c r="J103" s="13"/>
      <c r="K103" s="14"/>
      <c r="N103" s="12">
        <f t="shared" si="182"/>
        <v>3</v>
      </c>
      <c r="O103" s="13">
        <f t="shared" si="172"/>
        <v>734072.09754078626</v>
      </c>
      <c r="P103" s="14">
        <v>42797</v>
      </c>
      <c r="T103" s="15"/>
      <c r="U103" s="20"/>
      <c r="W103" s="12"/>
      <c r="X103" s="12"/>
      <c r="Y103" s="14"/>
      <c r="AB103" s="12"/>
      <c r="AC103" s="13"/>
      <c r="AD103" s="14"/>
      <c r="AG103" s="12"/>
      <c r="AH103" s="13"/>
      <c r="AI103" s="14"/>
      <c r="AK103" s="12"/>
      <c r="AL103" s="13"/>
      <c r="AM103" s="14"/>
      <c r="CK103" s="65"/>
      <c r="CL103" s="13"/>
      <c r="CO103" s="65"/>
      <c r="CP103" s="13"/>
      <c r="CS103" s="65"/>
      <c r="CT103" s="13"/>
      <c r="CW103" s="65"/>
      <c r="CX103" s="13"/>
      <c r="DA103" s="65"/>
      <c r="DB103" s="13"/>
      <c r="DE103" s="65"/>
      <c r="DF103" s="13"/>
      <c r="DI103" s="65"/>
      <c r="DJ103" s="13"/>
      <c r="DM103" s="65"/>
      <c r="DN103" s="13"/>
      <c r="DQ103" s="65"/>
      <c r="DR103" s="13"/>
      <c r="DU103" s="65"/>
      <c r="DV103" s="13"/>
      <c r="DY103" s="65">
        <f t="shared" si="185"/>
        <v>8</v>
      </c>
      <c r="DZ103" s="13">
        <f t="shared" si="175"/>
        <v>795147.4729251517</v>
      </c>
      <c r="EA103" s="14">
        <v>43108</v>
      </c>
      <c r="EC103" s="65"/>
      <c r="ED103" s="13"/>
      <c r="EE103" s="14"/>
      <c r="EG103" s="65"/>
      <c r="EH103" s="13"/>
      <c r="EI103" s="14"/>
      <c r="EK103" s="65"/>
      <c r="EL103" s="13"/>
      <c r="EM103" s="14"/>
      <c r="EO103" s="65"/>
      <c r="EP103" s="13"/>
      <c r="EQ103" s="14"/>
      <c r="ES103" s="65"/>
      <c r="ET103" s="13"/>
      <c r="EU103" s="14"/>
      <c r="EW103" s="65"/>
      <c r="EX103" s="13"/>
      <c r="EY103" s="14"/>
      <c r="FA103" s="65"/>
      <c r="FB103" s="13"/>
      <c r="FC103" s="14"/>
      <c r="FE103" s="65"/>
      <c r="FF103" s="13"/>
      <c r="FG103" s="14"/>
      <c r="FI103" s="65"/>
      <c r="FJ103" s="13"/>
      <c r="FK103" s="14"/>
      <c r="FM103" s="65"/>
      <c r="FN103" s="13"/>
      <c r="FO103" s="14"/>
      <c r="FQ103" s="65"/>
      <c r="FR103" s="13"/>
      <c r="FS103" s="14"/>
      <c r="FU103" s="65"/>
      <c r="FV103" s="13"/>
      <c r="FW103" s="14"/>
      <c r="FY103" s="65"/>
      <c r="FZ103" s="13"/>
      <c r="GA103" s="14"/>
      <c r="GC103" s="65"/>
      <c r="GD103" s="13"/>
      <c r="GE103" s="14"/>
      <c r="GG103" s="65"/>
      <c r="GH103" s="13"/>
      <c r="GI103" s="14"/>
      <c r="GK103" s="65"/>
      <c r="GL103" s="13"/>
      <c r="GM103" s="14"/>
      <c r="GO103" s="65"/>
      <c r="GP103" s="13"/>
      <c r="GQ103" s="14"/>
      <c r="GS103" s="65"/>
      <c r="GT103" s="13"/>
      <c r="GU103" s="14"/>
      <c r="GW103" s="65"/>
      <c r="GX103" s="13"/>
      <c r="GY103" s="14"/>
      <c r="HA103" s="65"/>
      <c r="HB103" s="13"/>
      <c r="HC103" s="14"/>
      <c r="HE103" s="65"/>
      <c r="HF103" s="13"/>
      <c r="HG103" s="14"/>
      <c r="HI103" s="65"/>
      <c r="HJ103" s="13"/>
      <c r="HK103" s="14"/>
      <c r="HM103" s="65"/>
      <c r="HN103" s="13"/>
      <c r="HO103" s="14"/>
      <c r="HQ103" s="65"/>
      <c r="HR103" s="13"/>
      <c r="HS103" s="14"/>
      <c r="HU103" s="65"/>
      <c r="HV103" s="13"/>
      <c r="HW103" s="14"/>
      <c r="HY103" s="65"/>
      <c r="HZ103" s="13"/>
      <c r="IA103" s="14"/>
      <c r="IC103" s="65"/>
      <c r="ID103" s="13"/>
      <c r="IE103" s="14"/>
      <c r="IG103" s="65"/>
      <c r="IH103" s="13"/>
      <c r="II103" s="14"/>
      <c r="IK103" s="65"/>
      <c r="IL103" s="13"/>
      <c r="IM103" s="14"/>
      <c r="IO103" s="65"/>
      <c r="IP103" s="13"/>
      <c r="IQ103" s="14"/>
      <c r="IS103" s="65"/>
      <c r="IT103" s="13"/>
      <c r="IU103" s="14"/>
      <c r="IW103" s="65"/>
      <c r="IX103" s="13"/>
      <c r="IY103" s="14"/>
      <c r="JA103" s="65"/>
      <c r="JB103" s="13"/>
      <c r="JC103" s="14"/>
      <c r="JE103" s="65"/>
      <c r="JF103" s="13"/>
      <c r="JG103" s="14"/>
      <c r="JI103" s="65"/>
      <c r="JJ103" s="13"/>
      <c r="JK103" s="14"/>
      <c r="JM103" s="65"/>
      <c r="JN103" s="13"/>
      <c r="JO103" s="14"/>
      <c r="JQ103" s="65"/>
      <c r="JR103" s="13"/>
      <c r="JS103" s="14"/>
      <c r="JU103" s="65"/>
      <c r="JV103" s="13"/>
      <c r="JW103" s="14"/>
      <c r="JY103" s="65"/>
      <c r="JZ103" s="13"/>
      <c r="KA103" s="14"/>
      <c r="KC103" s="65"/>
      <c r="KD103" s="13"/>
      <c r="KE103" s="14"/>
      <c r="KG103" s="65"/>
      <c r="KH103" s="13"/>
      <c r="KI103" s="14"/>
      <c r="KK103" s="65"/>
      <c r="KL103" s="13"/>
      <c r="KM103" s="14"/>
      <c r="KO103" s="65"/>
      <c r="KP103" s="13"/>
      <c r="KQ103" s="14"/>
      <c r="KS103" s="65"/>
      <c r="KT103" s="13"/>
      <c r="KU103" s="14"/>
      <c r="KW103" s="65"/>
      <c r="KX103" s="13"/>
      <c r="KY103" s="14"/>
      <c r="LA103" s="65"/>
      <c r="LB103" s="13"/>
      <c r="LC103" s="14"/>
      <c r="LE103" s="65"/>
      <c r="LF103" s="13"/>
      <c r="LG103" s="14"/>
      <c r="LI103" s="65"/>
      <c r="LJ103" s="13"/>
      <c r="LK103" s="14"/>
      <c r="LM103" s="65"/>
      <c r="LN103" s="13"/>
      <c r="LO103" s="14"/>
      <c r="LQ103" s="65"/>
      <c r="LR103" s="13"/>
      <c r="LS103" s="14"/>
      <c r="LU103" s="65"/>
      <c r="LV103" s="13"/>
      <c r="LW103" s="14"/>
      <c r="LY103" s="65"/>
      <c r="LZ103" s="13"/>
      <c r="MA103" s="14"/>
      <c r="MC103" s="65"/>
      <c r="MD103" s="13"/>
      <c r="ME103" s="14"/>
      <c r="MG103" s="65"/>
      <c r="MH103" s="13"/>
      <c r="MI103" s="14"/>
      <c r="MK103" s="65"/>
      <c r="ML103" s="13"/>
      <c r="MM103" s="14"/>
      <c r="MO103" s="65"/>
      <c r="MP103" s="13"/>
      <c r="MQ103" s="14"/>
      <c r="MS103" s="65"/>
      <c r="MT103" s="13"/>
      <c r="MU103" s="14"/>
    </row>
    <row r="104" spans="1:359" x14ac:dyDescent="0.25">
      <c r="A104" s="15">
        <f t="shared" si="171"/>
        <v>734101.55943648249</v>
      </c>
      <c r="B104" s="20">
        <v>42798</v>
      </c>
      <c r="D104" s="12">
        <v>72</v>
      </c>
      <c r="E104" s="12">
        <v>1142201.7720345813</v>
      </c>
      <c r="F104" s="14">
        <v>42528</v>
      </c>
      <c r="I104" s="12"/>
      <c r="J104" s="13"/>
      <c r="K104" s="14"/>
      <c r="N104" s="12">
        <f t="shared" si="182"/>
        <v>2</v>
      </c>
      <c r="O104" s="13">
        <f t="shared" si="172"/>
        <v>734101.55943648249</v>
      </c>
      <c r="P104" s="14">
        <v>42798</v>
      </c>
      <c r="T104" s="15"/>
      <c r="U104" s="20"/>
      <c r="W104" s="12"/>
      <c r="X104" s="12"/>
      <c r="Y104" s="14"/>
      <c r="AB104" s="12"/>
      <c r="AC104" s="13"/>
      <c r="AD104" s="14"/>
      <c r="AG104" s="12"/>
      <c r="AH104" s="13"/>
      <c r="AI104" s="14"/>
      <c r="AK104" s="12"/>
      <c r="AL104" s="13"/>
      <c r="AM104" s="14"/>
      <c r="CK104" s="65"/>
      <c r="CL104" s="13"/>
      <c r="CO104" s="65"/>
      <c r="CP104" s="13"/>
      <c r="CS104" s="65"/>
      <c r="CT104" s="13"/>
      <c r="CW104" s="65"/>
      <c r="CX104" s="13"/>
      <c r="DA104" s="65"/>
      <c r="DB104" s="13"/>
      <c r="DE104" s="65"/>
      <c r="DF104" s="13"/>
      <c r="DI104" s="65"/>
      <c r="DJ104" s="13"/>
      <c r="DM104" s="65"/>
      <c r="DN104" s="13"/>
      <c r="DQ104" s="65"/>
      <c r="DR104" s="13"/>
      <c r="DU104" s="65"/>
      <c r="DV104" s="13"/>
      <c r="DY104" s="65">
        <f t="shared" si="185"/>
        <v>7</v>
      </c>
      <c r="DZ104" s="13">
        <f t="shared" si="175"/>
        <v>795189.23137642117</v>
      </c>
      <c r="EA104" s="14">
        <v>43109</v>
      </c>
      <c r="EC104" s="65"/>
      <c r="ED104" s="13"/>
      <c r="EE104" s="14"/>
      <c r="EG104" s="65"/>
      <c r="EH104" s="13"/>
      <c r="EI104" s="14"/>
      <c r="EK104" s="65"/>
      <c r="EL104" s="13"/>
      <c r="EM104" s="14"/>
      <c r="EO104" s="65"/>
      <c r="EP104" s="13"/>
      <c r="EQ104" s="14"/>
      <c r="ES104" s="65"/>
      <c r="ET104" s="13"/>
      <c r="EU104" s="14"/>
      <c r="EW104" s="65"/>
      <c r="EX104" s="13"/>
      <c r="EY104" s="14"/>
      <c r="FA104" s="65"/>
      <c r="FB104" s="13"/>
      <c r="FC104" s="14"/>
      <c r="FE104" s="65"/>
      <c r="FF104" s="13"/>
      <c r="FG104" s="14"/>
      <c r="FI104" s="65"/>
      <c r="FJ104" s="13"/>
      <c r="FK104" s="14"/>
      <c r="FM104" s="65"/>
      <c r="FN104" s="13"/>
      <c r="FO104" s="14"/>
      <c r="FQ104" s="65"/>
      <c r="FR104" s="13"/>
      <c r="FS104" s="14"/>
      <c r="FU104" s="65"/>
      <c r="FV104" s="13"/>
      <c r="FW104" s="14"/>
      <c r="FY104" s="65"/>
      <c r="FZ104" s="13"/>
      <c r="GA104" s="14"/>
      <c r="GC104" s="65"/>
      <c r="GD104" s="13"/>
      <c r="GE104" s="14"/>
      <c r="GG104" s="65"/>
      <c r="GH104" s="13"/>
      <c r="GI104" s="14"/>
      <c r="GK104" s="65"/>
      <c r="GL104" s="13"/>
      <c r="GM104" s="14"/>
      <c r="GO104" s="65"/>
      <c r="GP104" s="13"/>
      <c r="GQ104" s="14"/>
      <c r="GS104" s="65"/>
      <c r="GT104" s="13"/>
      <c r="GU104" s="14"/>
      <c r="GW104" s="65"/>
      <c r="GX104" s="13"/>
      <c r="GY104" s="14"/>
      <c r="HA104" s="65"/>
      <c r="HB104" s="13"/>
      <c r="HC104" s="14"/>
      <c r="HE104" s="65"/>
      <c r="HF104" s="13"/>
      <c r="HG104" s="14"/>
      <c r="HI104" s="65"/>
      <c r="HJ104" s="13"/>
      <c r="HK104" s="14"/>
      <c r="HM104" s="65"/>
      <c r="HN104" s="13"/>
      <c r="HO104" s="14"/>
      <c r="HQ104" s="65"/>
      <c r="HR104" s="13"/>
      <c r="HS104" s="14"/>
      <c r="HU104" s="65"/>
      <c r="HV104" s="13"/>
      <c r="HW104" s="14"/>
      <c r="HY104" s="65"/>
      <c r="HZ104" s="13"/>
      <c r="IA104" s="14"/>
      <c r="IC104" s="65"/>
      <c r="ID104" s="13"/>
      <c r="IE104" s="14"/>
      <c r="IG104" s="65"/>
      <c r="IH104" s="13"/>
      <c r="II104" s="14"/>
      <c r="IK104" s="65"/>
      <c r="IL104" s="13"/>
      <c r="IM104" s="14"/>
      <c r="IO104" s="65"/>
      <c r="IP104" s="13"/>
      <c r="IQ104" s="14"/>
      <c r="IS104" s="65"/>
      <c r="IT104" s="13"/>
      <c r="IU104" s="14"/>
      <c r="IW104" s="65"/>
      <c r="IX104" s="13"/>
      <c r="IY104" s="14"/>
      <c r="JA104" s="65"/>
      <c r="JB104" s="13"/>
      <c r="JC104" s="14"/>
      <c r="JE104" s="65"/>
      <c r="JF104" s="13"/>
      <c r="JG104" s="14"/>
      <c r="JI104" s="65"/>
      <c r="JJ104" s="13"/>
      <c r="JK104" s="14"/>
      <c r="JM104" s="65"/>
      <c r="JN104" s="13"/>
      <c r="JO104" s="14"/>
      <c r="JQ104" s="65"/>
      <c r="JR104" s="13"/>
      <c r="JS104" s="14"/>
      <c r="JU104" s="65"/>
      <c r="JV104" s="13"/>
      <c r="JW104" s="14"/>
      <c r="JY104" s="65"/>
      <c r="JZ104" s="13"/>
      <c r="KA104" s="14"/>
      <c r="KC104" s="65"/>
      <c r="KD104" s="13"/>
      <c r="KE104" s="14"/>
      <c r="KG104" s="65"/>
      <c r="KH104" s="13"/>
      <c r="KI104" s="14"/>
      <c r="KK104" s="65"/>
      <c r="KL104" s="13"/>
      <c r="KM104" s="14"/>
      <c r="KO104" s="65"/>
      <c r="KP104" s="13"/>
      <c r="KQ104" s="14"/>
      <c r="KS104" s="65"/>
      <c r="KT104" s="13"/>
      <c r="KU104" s="14"/>
      <c r="KW104" s="65"/>
      <c r="KX104" s="13"/>
      <c r="KY104" s="14"/>
      <c r="LA104" s="65"/>
      <c r="LB104" s="13"/>
      <c r="LC104" s="14"/>
      <c r="LE104" s="65"/>
      <c r="LF104" s="13"/>
      <c r="LG104" s="14"/>
      <c r="LI104" s="65"/>
      <c r="LJ104" s="13"/>
      <c r="LK104" s="14"/>
      <c r="LM104" s="65"/>
      <c r="LN104" s="13"/>
      <c r="LO104" s="14"/>
      <c r="LQ104" s="65"/>
      <c r="LR104" s="13"/>
      <c r="LS104" s="14"/>
      <c r="LU104" s="65"/>
      <c r="LV104" s="13"/>
      <c r="LW104" s="14"/>
      <c r="LY104" s="65"/>
      <c r="LZ104" s="13"/>
      <c r="MA104" s="14"/>
      <c r="MC104" s="65"/>
      <c r="MD104" s="13"/>
      <c r="ME104" s="14"/>
      <c r="MG104" s="65"/>
      <c r="MH104" s="13"/>
      <c r="MI104" s="14"/>
      <c r="MK104" s="65"/>
      <c r="ML104" s="13"/>
      <c r="MM104" s="14"/>
      <c r="MO104" s="65"/>
      <c r="MP104" s="13"/>
      <c r="MQ104" s="14"/>
      <c r="MS104" s="65"/>
      <c r="MT104" s="13"/>
      <c r="MU104" s="14"/>
    </row>
    <row r="105" spans="1:359" x14ac:dyDescent="0.25">
      <c r="A105" s="15">
        <f t="shared" si="171"/>
        <v>734131.02369717299</v>
      </c>
      <c r="B105" s="20">
        <v>42799</v>
      </c>
      <c r="D105" s="12">
        <v>71</v>
      </c>
      <c r="E105" s="12">
        <v>1142228.989629833</v>
      </c>
      <c r="F105" s="14">
        <v>42529</v>
      </c>
      <c r="I105" s="12"/>
      <c r="J105" s="13"/>
      <c r="K105" s="14"/>
      <c r="N105" s="12">
        <f t="shared" si="182"/>
        <v>1</v>
      </c>
      <c r="O105" s="13">
        <f t="shared" si="172"/>
        <v>734131.02369717299</v>
      </c>
      <c r="P105" s="14">
        <v>42799</v>
      </c>
      <c r="T105" s="15"/>
      <c r="U105" s="20"/>
      <c r="W105" s="12"/>
      <c r="X105" s="12"/>
      <c r="Y105" s="14"/>
      <c r="AB105" s="12"/>
      <c r="AC105" s="13"/>
      <c r="AD105" s="14"/>
      <c r="AG105" s="12"/>
      <c r="AH105" s="13"/>
      <c r="AI105" s="14"/>
      <c r="AK105" s="12"/>
      <c r="AL105" s="13"/>
      <c r="AM105" s="14"/>
      <c r="CK105" s="65"/>
      <c r="CL105" s="13"/>
      <c r="CO105" s="65"/>
      <c r="CP105" s="13"/>
      <c r="CS105" s="65"/>
      <c r="CT105" s="13"/>
      <c r="CW105" s="65"/>
      <c r="CX105" s="13"/>
      <c r="DA105" s="65"/>
      <c r="DB105" s="13"/>
      <c r="DE105" s="65"/>
      <c r="DF105" s="13"/>
      <c r="DI105" s="65"/>
      <c r="DJ105" s="13"/>
      <c r="DM105" s="65"/>
      <c r="DN105" s="13"/>
      <c r="DQ105" s="65"/>
      <c r="DR105" s="13"/>
      <c r="DU105" s="65"/>
      <c r="DV105" s="13"/>
      <c r="DY105" s="65">
        <f t="shared" si="185"/>
        <v>6</v>
      </c>
      <c r="DZ105" s="13">
        <f t="shared" si="175"/>
        <v>795230.99421394593</v>
      </c>
      <c r="EA105" s="14">
        <v>43110</v>
      </c>
      <c r="EC105" s="65"/>
      <c r="ED105" s="13"/>
      <c r="EE105" s="14"/>
      <c r="EG105" s="65"/>
      <c r="EH105" s="13"/>
      <c r="EI105" s="14"/>
      <c r="EK105" s="65"/>
      <c r="EL105" s="13"/>
      <c r="EM105" s="14"/>
      <c r="EO105" s="65"/>
      <c r="EP105" s="13"/>
      <c r="EQ105" s="14"/>
      <c r="ES105" s="65"/>
      <c r="ET105" s="13"/>
      <c r="EU105" s="14"/>
      <c r="EW105" s="65"/>
      <c r="EX105" s="13"/>
      <c r="EY105" s="14"/>
      <c r="FA105" s="65"/>
      <c r="FB105" s="13"/>
      <c r="FC105" s="14"/>
      <c r="FE105" s="65"/>
      <c r="FF105" s="13"/>
      <c r="FG105" s="14"/>
      <c r="FI105" s="65"/>
      <c r="FJ105" s="13"/>
      <c r="FK105" s="14"/>
      <c r="FM105" s="65"/>
      <c r="FN105" s="13"/>
      <c r="FO105" s="14"/>
      <c r="FQ105" s="65"/>
      <c r="FR105" s="13"/>
      <c r="FS105" s="14"/>
      <c r="FU105" s="65"/>
      <c r="FV105" s="13"/>
      <c r="FW105" s="14"/>
      <c r="FY105" s="65"/>
      <c r="FZ105" s="13"/>
      <c r="GA105" s="14"/>
      <c r="GC105" s="65"/>
      <c r="GD105" s="13"/>
      <c r="GE105" s="14"/>
      <c r="GG105" s="65"/>
      <c r="GH105" s="13"/>
      <c r="GI105" s="14"/>
      <c r="GK105" s="65"/>
      <c r="GL105" s="13"/>
      <c r="GM105" s="14"/>
      <c r="GO105" s="65"/>
      <c r="GP105" s="13"/>
      <c r="GQ105" s="14"/>
      <c r="GS105" s="65"/>
      <c r="GT105" s="13"/>
      <c r="GU105" s="14"/>
      <c r="GW105" s="65"/>
      <c r="GX105" s="13"/>
      <c r="GY105" s="14"/>
      <c r="HA105" s="65"/>
      <c r="HB105" s="13"/>
      <c r="HC105" s="14"/>
      <c r="HE105" s="65"/>
      <c r="HF105" s="13"/>
      <c r="HG105" s="14"/>
      <c r="HI105" s="65"/>
      <c r="HJ105" s="13"/>
      <c r="HK105" s="14"/>
      <c r="HM105" s="65"/>
      <c r="HN105" s="13"/>
      <c r="HO105" s="14"/>
      <c r="HQ105" s="65"/>
      <c r="HR105" s="13"/>
      <c r="HS105" s="14"/>
      <c r="HU105" s="65"/>
      <c r="HV105" s="13"/>
      <c r="HW105" s="14"/>
      <c r="HY105" s="65"/>
      <c r="HZ105" s="13"/>
      <c r="IA105" s="14"/>
      <c r="IC105" s="65"/>
      <c r="ID105" s="13"/>
      <c r="IE105" s="14"/>
      <c r="IG105" s="65"/>
      <c r="IH105" s="13"/>
      <c r="II105" s="14"/>
      <c r="IK105" s="65"/>
      <c r="IL105" s="13"/>
      <c r="IM105" s="14"/>
      <c r="IO105" s="65"/>
      <c r="IP105" s="13"/>
      <c r="IQ105" s="14"/>
      <c r="IS105" s="65"/>
      <c r="IT105" s="13"/>
      <c r="IU105" s="14"/>
      <c r="IW105" s="65"/>
      <c r="IX105" s="13"/>
      <c r="IY105" s="14"/>
      <c r="JA105" s="65"/>
      <c r="JB105" s="13"/>
      <c r="JC105" s="14"/>
      <c r="JE105" s="65"/>
      <c r="JF105" s="13"/>
      <c r="JG105" s="14"/>
      <c r="JI105" s="65"/>
      <c r="JJ105" s="13"/>
      <c r="JK105" s="14"/>
      <c r="JM105" s="65"/>
      <c r="JN105" s="13"/>
      <c r="JO105" s="14"/>
      <c r="JQ105" s="65"/>
      <c r="JR105" s="13"/>
      <c r="JS105" s="14"/>
      <c r="JU105" s="65"/>
      <c r="JV105" s="13"/>
      <c r="JW105" s="14"/>
      <c r="JY105" s="65"/>
      <c r="JZ105" s="13"/>
      <c r="KA105" s="14"/>
      <c r="KC105" s="65"/>
      <c r="KD105" s="13"/>
      <c r="KE105" s="14"/>
      <c r="KG105" s="65"/>
      <c r="KH105" s="13"/>
      <c r="KI105" s="14"/>
      <c r="KK105" s="65"/>
      <c r="KL105" s="13"/>
      <c r="KM105" s="14"/>
      <c r="KO105" s="65"/>
      <c r="KP105" s="13"/>
      <c r="KQ105" s="14"/>
      <c r="KS105" s="65"/>
      <c r="KT105" s="13"/>
      <c r="KU105" s="14"/>
      <c r="KW105" s="65"/>
      <c r="KX105" s="13"/>
      <c r="KY105" s="14"/>
      <c r="LA105" s="65"/>
      <c r="LB105" s="13"/>
      <c r="LC105" s="14"/>
      <c r="LE105" s="65"/>
      <c r="LF105" s="13"/>
      <c r="LG105" s="14"/>
      <c r="LI105" s="65"/>
      <c r="LJ105" s="13"/>
      <c r="LK105" s="14"/>
      <c r="LM105" s="65"/>
      <c r="LN105" s="13"/>
      <c r="LO105" s="14"/>
      <c r="LQ105" s="65"/>
      <c r="LR105" s="13"/>
      <c r="LS105" s="14"/>
      <c r="LU105" s="65"/>
      <c r="LV105" s="13"/>
      <c r="LW105" s="14"/>
      <c r="LY105" s="65"/>
      <c r="LZ105" s="13"/>
      <c r="MA105" s="14"/>
      <c r="MC105" s="65"/>
      <c r="MD105" s="13"/>
      <c r="ME105" s="14"/>
      <c r="MG105" s="65"/>
      <c r="MH105" s="13"/>
      <c r="MI105" s="14"/>
      <c r="MK105" s="65"/>
      <c r="ML105" s="13"/>
      <c r="MM105" s="14"/>
      <c r="MO105" s="65"/>
      <c r="MP105" s="13"/>
      <c r="MQ105" s="14"/>
      <c r="MS105" s="65"/>
      <c r="MT105" s="13"/>
      <c r="MU105" s="14"/>
    </row>
    <row r="106" spans="1:359" x14ac:dyDescent="0.25">
      <c r="A106" s="15">
        <f t="shared" si="171"/>
        <v>734160.49032314238</v>
      </c>
      <c r="B106" s="20">
        <v>42800</v>
      </c>
      <c r="D106" s="12">
        <v>70</v>
      </c>
      <c r="E106" s="12">
        <v>1142256.2085222548</v>
      </c>
      <c r="F106" s="14">
        <v>42530</v>
      </c>
      <c r="I106" s="12"/>
      <c r="J106" s="13"/>
      <c r="K106" s="14"/>
      <c r="N106" s="12">
        <f t="shared" si="182"/>
        <v>0</v>
      </c>
      <c r="O106" s="13">
        <f t="shared" si="172"/>
        <v>734160.49032314238</v>
      </c>
      <c r="P106" s="14">
        <v>42800</v>
      </c>
      <c r="T106" s="15"/>
      <c r="U106" s="20"/>
      <c r="W106" s="12"/>
      <c r="X106" s="12"/>
      <c r="Y106" s="14"/>
      <c r="AB106" s="12"/>
      <c r="AC106" s="13"/>
      <c r="AD106" s="14"/>
      <c r="AG106" s="12"/>
      <c r="AH106" s="13"/>
      <c r="AI106" s="14"/>
      <c r="AK106" s="12"/>
      <c r="AL106" s="13"/>
      <c r="AM106" s="14"/>
      <c r="CK106" s="65"/>
      <c r="CL106" s="13"/>
      <c r="CO106" s="65"/>
      <c r="CP106" s="13"/>
      <c r="CS106" s="65"/>
      <c r="CT106" s="13"/>
      <c r="CW106" s="65"/>
      <c r="CX106" s="13"/>
      <c r="DA106" s="65"/>
      <c r="DB106" s="13"/>
      <c r="DE106" s="65"/>
      <c r="DF106" s="13"/>
      <c r="DI106" s="65"/>
      <c r="DJ106" s="13"/>
      <c r="DM106" s="65"/>
      <c r="DN106" s="13"/>
      <c r="DQ106" s="65"/>
      <c r="DR106" s="13"/>
      <c r="DU106" s="65"/>
      <c r="DV106" s="13"/>
      <c r="DY106" s="65">
        <f t="shared" si="185"/>
        <v>5</v>
      </c>
      <c r="DZ106" s="13">
        <f t="shared" si="175"/>
        <v>795272.76143841667</v>
      </c>
      <c r="EA106" s="14">
        <v>43111</v>
      </c>
      <c r="EC106" s="65"/>
      <c r="ED106" s="13"/>
      <c r="EE106" s="14"/>
      <c r="EG106" s="65"/>
      <c r="EH106" s="13"/>
      <c r="EI106" s="14"/>
      <c r="EK106" s="65"/>
      <c r="EL106" s="13"/>
      <c r="EM106" s="14"/>
      <c r="EO106" s="65"/>
      <c r="EP106" s="13"/>
      <c r="EQ106" s="14"/>
      <c r="ES106" s="65"/>
      <c r="ET106" s="13"/>
      <c r="EU106" s="14"/>
      <c r="EW106" s="65"/>
      <c r="EX106" s="13"/>
      <c r="EY106" s="14"/>
      <c r="FA106" s="65"/>
      <c r="FB106" s="13"/>
      <c r="FC106" s="14"/>
      <c r="FE106" s="65"/>
      <c r="FF106" s="13"/>
      <c r="FG106" s="14"/>
      <c r="FI106" s="65"/>
      <c r="FJ106" s="13"/>
      <c r="FK106" s="14"/>
      <c r="FM106" s="65"/>
      <c r="FN106" s="13"/>
      <c r="FO106" s="14"/>
      <c r="FQ106" s="65"/>
      <c r="FR106" s="13"/>
      <c r="FS106" s="14"/>
      <c r="FU106" s="65"/>
      <c r="FV106" s="13"/>
      <c r="FW106" s="14"/>
      <c r="FY106" s="65"/>
      <c r="FZ106" s="13"/>
      <c r="GA106" s="14"/>
      <c r="GC106" s="65"/>
      <c r="GD106" s="13"/>
      <c r="GE106" s="14"/>
      <c r="GG106" s="65"/>
      <c r="GH106" s="13"/>
      <c r="GI106" s="14"/>
      <c r="GK106" s="65"/>
      <c r="GL106" s="13"/>
      <c r="GM106" s="14"/>
      <c r="GO106" s="65"/>
      <c r="GP106" s="13"/>
      <c r="GQ106" s="14"/>
      <c r="GS106" s="65"/>
      <c r="GT106" s="13"/>
      <c r="GU106" s="14"/>
      <c r="GW106" s="65"/>
      <c r="GX106" s="13"/>
      <c r="GY106" s="14"/>
      <c r="HA106" s="65"/>
      <c r="HB106" s="13"/>
      <c r="HC106" s="14"/>
      <c r="HE106" s="65"/>
      <c r="HF106" s="13"/>
      <c r="HG106" s="14"/>
      <c r="HI106" s="65"/>
      <c r="HJ106" s="13"/>
      <c r="HK106" s="14"/>
      <c r="HM106" s="65"/>
      <c r="HN106" s="13"/>
      <c r="HO106" s="14"/>
      <c r="HQ106" s="65"/>
      <c r="HR106" s="13"/>
      <c r="HS106" s="14"/>
      <c r="HU106" s="65"/>
      <c r="HV106" s="13"/>
      <c r="HW106" s="14"/>
      <c r="HY106" s="65"/>
      <c r="HZ106" s="13"/>
      <c r="IA106" s="14"/>
      <c r="IC106" s="65"/>
      <c r="ID106" s="13"/>
      <c r="IE106" s="14"/>
      <c r="IG106" s="65"/>
      <c r="IH106" s="13"/>
      <c r="II106" s="14"/>
      <c r="IK106" s="65"/>
      <c r="IL106" s="13"/>
      <c r="IM106" s="14"/>
      <c r="IO106" s="65"/>
      <c r="IP106" s="13"/>
      <c r="IQ106" s="14"/>
      <c r="IS106" s="65"/>
      <c r="IT106" s="13"/>
      <c r="IU106" s="14"/>
      <c r="IW106" s="65"/>
      <c r="IX106" s="13"/>
      <c r="IY106" s="14"/>
      <c r="JA106" s="65"/>
      <c r="JB106" s="13"/>
      <c r="JC106" s="14"/>
      <c r="JE106" s="65"/>
      <c r="JF106" s="13"/>
      <c r="JG106" s="14"/>
      <c r="JI106" s="65"/>
      <c r="JJ106" s="13"/>
      <c r="JK106" s="14"/>
      <c r="JM106" s="65"/>
      <c r="JN106" s="13"/>
      <c r="JO106" s="14"/>
      <c r="JQ106" s="65"/>
      <c r="JR106" s="13"/>
      <c r="JS106" s="14"/>
      <c r="JU106" s="65"/>
      <c r="JV106" s="13"/>
      <c r="JW106" s="14"/>
      <c r="JY106" s="65"/>
      <c r="JZ106" s="13"/>
      <c r="KA106" s="14"/>
      <c r="KC106" s="65"/>
      <c r="KD106" s="13"/>
      <c r="KE106" s="14"/>
      <c r="KG106" s="65"/>
      <c r="KH106" s="13"/>
      <c r="KI106" s="14"/>
      <c r="KK106" s="65"/>
      <c r="KL106" s="13"/>
      <c r="KM106" s="14"/>
      <c r="KO106" s="65"/>
      <c r="KP106" s="13"/>
      <c r="KQ106" s="14"/>
      <c r="KS106" s="65"/>
      <c r="KT106" s="13"/>
      <c r="KU106" s="14"/>
      <c r="KW106" s="65"/>
      <c r="KX106" s="13"/>
      <c r="KY106" s="14"/>
      <c r="LA106" s="65"/>
      <c r="LB106" s="13"/>
      <c r="LC106" s="14"/>
      <c r="LE106" s="65"/>
      <c r="LF106" s="13"/>
      <c r="LG106" s="14"/>
      <c r="LI106" s="65"/>
      <c r="LJ106" s="13"/>
      <c r="LK106" s="14"/>
      <c r="LM106" s="65"/>
      <c r="LN106" s="13"/>
      <c r="LO106" s="14"/>
      <c r="LQ106" s="65"/>
      <c r="LR106" s="13"/>
      <c r="LS106" s="14"/>
      <c r="LU106" s="65"/>
      <c r="LV106" s="13"/>
      <c r="LW106" s="14"/>
      <c r="LY106" s="65"/>
      <c r="LZ106" s="13"/>
      <c r="MA106" s="14"/>
      <c r="MC106" s="65"/>
      <c r="MD106" s="13"/>
      <c r="ME106" s="14"/>
      <c r="MG106" s="65"/>
      <c r="MH106" s="13"/>
      <c r="MI106" s="14"/>
      <c r="MK106" s="65"/>
      <c r="ML106" s="13"/>
      <c r="MM106" s="14"/>
      <c r="MO106" s="65"/>
      <c r="MP106" s="13"/>
      <c r="MQ106" s="14"/>
      <c r="MS106" s="65"/>
      <c r="MT106" s="13"/>
      <c r="MU106" s="14"/>
    </row>
    <row r="107" spans="1:359" x14ac:dyDescent="0.25">
      <c r="A107" s="15">
        <f t="shared" si="171"/>
        <v>0</v>
      </c>
      <c r="B107" s="20">
        <v>42801</v>
      </c>
      <c r="D107" s="12">
        <v>69</v>
      </c>
      <c r="E107" s="12">
        <v>1142283.4287119401</v>
      </c>
      <c r="F107" s="14">
        <v>42531</v>
      </c>
      <c r="I107" s="12"/>
      <c r="J107" s="13"/>
      <c r="K107" s="14"/>
      <c r="N107" s="12"/>
      <c r="O107" s="13"/>
      <c r="P107" s="14"/>
      <c r="T107" s="15"/>
      <c r="U107" s="20"/>
      <c r="W107" s="12"/>
      <c r="X107" s="12"/>
      <c r="Y107" s="14"/>
      <c r="AB107" s="12"/>
      <c r="AC107" s="13"/>
      <c r="AD107" s="14"/>
      <c r="AG107" s="12"/>
      <c r="AH107" s="13"/>
      <c r="AI107" s="14"/>
      <c r="AK107" s="12"/>
      <c r="AL107" s="13"/>
      <c r="AM107" s="14"/>
      <c r="CK107" s="65"/>
      <c r="CL107" s="13"/>
      <c r="CO107" s="65"/>
      <c r="CP107" s="13"/>
      <c r="CS107" s="65"/>
      <c r="CT107" s="13"/>
      <c r="CW107" s="65"/>
      <c r="CX107" s="13"/>
      <c r="DA107" s="65"/>
      <c r="DB107" s="13"/>
      <c r="DE107" s="65"/>
      <c r="DF107" s="13"/>
      <c r="DI107" s="65"/>
      <c r="DJ107" s="13"/>
      <c r="DM107" s="65"/>
      <c r="DN107" s="13"/>
      <c r="DQ107" s="65"/>
      <c r="DR107" s="13"/>
      <c r="DU107" s="65"/>
      <c r="DV107" s="13"/>
      <c r="DY107" s="65">
        <f t="shared" si="185"/>
        <v>4</v>
      </c>
      <c r="DZ107" s="13">
        <f t="shared" si="175"/>
        <v>795314.533050525</v>
      </c>
      <c r="EA107" s="14">
        <v>43112</v>
      </c>
      <c r="EC107" s="65"/>
      <c r="ED107" s="13"/>
      <c r="EE107" s="14"/>
      <c r="EG107" s="65"/>
      <c r="EH107" s="13"/>
      <c r="EI107" s="14"/>
      <c r="EK107" s="65"/>
      <c r="EL107" s="13"/>
      <c r="EM107" s="14"/>
      <c r="EO107" s="65"/>
      <c r="EP107" s="13"/>
      <c r="EQ107" s="14"/>
      <c r="ES107" s="65"/>
      <c r="ET107" s="13"/>
      <c r="EU107" s="14"/>
      <c r="EW107" s="65"/>
      <c r="EX107" s="13"/>
      <c r="EY107" s="14"/>
      <c r="FA107" s="65"/>
      <c r="FB107" s="13"/>
      <c r="FC107" s="14"/>
      <c r="FE107" s="65"/>
      <c r="FF107" s="13"/>
      <c r="FG107" s="14"/>
      <c r="FI107" s="65"/>
      <c r="FJ107" s="13"/>
      <c r="FK107" s="14"/>
      <c r="FM107" s="65"/>
      <c r="FN107" s="13"/>
      <c r="FO107" s="14"/>
      <c r="FQ107" s="65"/>
      <c r="FR107" s="13"/>
      <c r="FS107" s="14"/>
      <c r="FU107" s="65"/>
      <c r="FV107" s="13"/>
      <c r="FW107" s="14"/>
      <c r="FY107" s="65"/>
      <c r="FZ107" s="13"/>
      <c r="GA107" s="14"/>
      <c r="GC107" s="65"/>
      <c r="GD107" s="13"/>
      <c r="GE107" s="14"/>
      <c r="GG107" s="65"/>
      <c r="GH107" s="13"/>
      <c r="GI107" s="14"/>
      <c r="GK107" s="65"/>
      <c r="GL107" s="13"/>
      <c r="GM107" s="14"/>
      <c r="GO107" s="65"/>
      <c r="GP107" s="13"/>
      <c r="GQ107" s="14"/>
      <c r="GS107" s="65"/>
      <c r="GT107" s="13"/>
      <c r="GU107" s="14"/>
      <c r="GW107" s="65"/>
      <c r="GX107" s="13"/>
      <c r="GY107" s="14"/>
      <c r="HA107" s="65"/>
      <c r="HB107" s="13"/>
      <c r="HC107" s="14"/>
      <c r="HE107" s="65"/>
      <c r="HF107" s="13"/>
      <c r="HG107" s="14"/>
      <c r="HI107" s="65"/>
      <c r="HJ107" s="13"/>
      <c r="HK107" s="14"/>
      <c r="HM107" s="65"/>
      <c r="HN107" s="13"/>
      <c r="HO107" s="14"/>
      <c r="HQ107" s="65"/>
      <c r="HR107" s="13"/>
      <c r="HS107" s="14"/>
      <c r="HU107" s="65"/>
      <c r="HV107" s="13"/>
      <c r="HW107" s="14"/>
      <c r="HY107" s="65"/>
      <c r="HZ107" s="13"/>
      <c r="IA107" s="14"/>
      <c r="IC107" s="65"/>
      <c r="ID107" s="13"/>
      <c r="IE107" s="14"/>
      <c r="IG107" s="65"/>
      <c r="IH107" s="13"/>
      <c r="II107" s="14"/>
      <c r="IK107" s="65"/>
      <c r="IL107" s="13"/>
      <c r="IM107" s="14"/>
      <c r="IO107" s="65"/>
      <c r="IP107" s="13"/>
      <c r="IQ107" s="14"/>
      <c r="IS107" s="65"/>
      <c r="IT107" s="13"/>
      <c r="IU107" s="14"/>
      <c r="IW107" s="65"/>
      <c r="IX107" s="13"/>
      <c r="IY107" s="14"/>
      <c r="JA107" s="65"/>
      <c r="JB107" s="13"/>
      <c r="JC107" s="14"/>
      <c r="JE107" s="65"/>
      <c r="JF107" s="13"/>
      <c r="JG107" s="14"/>
      <c r="JI107" s="65"/>
      <c r="JJ107" s="13"/>
      <c r="JK107" s="14"/>
      <c r="JM107" s="65"/>
      <c r="JN107" s="13"/>
      <c r="JO107" s="14"/>
      <c r="JQ107" s="65"/>
      <c r="JR107" s="13"/>
      <c r="JS107" s="14"/>
      <c r="JU107" s="65"/>
      <c r="JV107" s="13"/>
      <c r="JW107" s="14"/>
      <c r="JY107" s="65"/>
      <c r="JZ107" s="13"/>
      <c r="KA107" s="14"/>
      <c r="KC107" s="65"/>
      <c r="KD107" s="13"/>
      <c r="KE107" s="14"/>
      <c r="KG107" s="65"/>
      <c r="KH107" s="13"/>
      <c r="KI107" s="14"/>
      <c r="KK107" s="65"/>
      <c r="KL107" s="13"/>
      <c r="KM107" s="14"/>
      <c r="KO107" s="65"/>
      <c r="KP107" s="13"/>
      <c r="KQ107" s="14"/>
      <c r="KS107" s="65"/>
      <c r="KT107" s="13"/>
      <c r="KU107" s="14"/>
      <c r="KW107" s="65"/>
      <c r="KX107" s="13"/>
      <c r="KY107" s="14"/>
      <c r="LA107" s="65"/>
      <c r="LB107" s="13"/>
      <c r="LC107" s="14"/>
      <c r="LE107" s="65"/>
      <c r="LF107" s="13"/>
      <c r="LG107" s="14"/>
      <c r="LI107" s="65"/>
      <c r="LJ107" s="13"/>
      <c r="LK107" s="14"/>
      <c r="LM107" s="65"/>
      <c r="LN107" s="13"/>
      <c r="LO107" s="14"/>
      <c r="LQ107" s="65"/>
      <c r="LR107" s="13"/>
      <c r="LS107" s="14"/>
      <c r="LU107" s="65"/>
      <c r="LV107" s="13"/>
      <c r="LW107" s="14"/>
      <c r="LY107" s="65"/>
      <c r="LZ107" s="13"/>
      <c r="MA107" s="14"/>
      <c r="MC107" s="65"/>
      <c r="MD107" s="13"/>
      <c r="ME107" s="14"/>
      <c r="MG107" s="65"/>
      <c r="MH107" s="13"/>
      <c r="MI107" s="14"/>
      <c r="MK107" s="65"/>
      <c r="ML107" s="13"/>
      <c r="MM107" s="14"/>
      <c r="MO107" s="65"/>
      <c r="MP107" s="13"/>
      <c r="MQ107" s="14"/>
      <c r="MS107" s="65"/>
      <c r="MT107" s="13"/>
      <c r="MU107" s="14"/>
    </row>
    <row r="108" spans="1:359" x14ac:dyDescent="0.25">
      <c r="A108" s="15">
        <f t="shared" si="171"/>
        <v>0</v>
      </c>
      <c r="B108" s="20">
        <v>42802</v>
      </c>
      <c r="D108" s="12">
        <v>68</v>
      </c>
      <c r="E108" s="12">
        <v>1142310.6501989809</v>
      </c>
      <c r="F108" s="14">
        <v>42532</v>
      </c>
      <c r="I108" s="12"/>
      <c r="J108" s="13"/>
      <c r="K108" s="14"/>
      <c r="N108" s="12"/>
      <c r="O108" s="13"/>
      <c r="P108" s="14"/>
      <c r="T108" s="15"/>
      <c r="U108" s="20"/>
      <c r="W108" s="12"/>
      <c r="X108" s="12"/>
      <c r="Y108" s="14"/>
      <c r="AB108" s="12"/>
      <c r="AC108" s="13"/>
      <c r="AD108" s="14"/>
      <c r="AG108" s="12"/>
      <c r="AH108" s="13"/>
      <c r="AI108" s="14"/>
      <c r="AK108" s="12"/>
      <c r="AL108" s="13"/>
      <c r="AM108" s="14"/>
      <c r="CK108" s="65"/>
      <c r="CL108" s="13"/>
      <c r="CO108" s="65"/>
      <c r="CP108" s="13"/>
      <c r="CS108" s="65"/>
      <c r="CT108" s="13"/>
      <c r="CW108" s="65"/>
      <c r="CX108" s="13"/>
      <c r="DA108" s="65"/>
      <c r="DB108" s="13"/>
      <c r="DE108" s="65"/>
      <c r="DF108" s="13"/>
      <c r="DI108" s="65"/>
      <c r="DJ108" s="13"/>
      <c r="DM108" s="65"/>
      <c r="DN108" s="13"/>
      <c r="DQ108" s="65"/>
      <c r="DR108" s="13"/>
      <c r="DU108" s="65"/>
      <c r="DV108" s="13"/>
      <c r="DY108" s="65">
        <f t="shared" si="185"/>
        <v>3</v>
      </c>
      <c r="DZ108" s="13">
        <f t="shared" si="175"/>
        <v>795356.30905096221</v>
      </c>
      <c r="EA108" s="14">
        <v>43113</v>
      </c>
      <c r="EC108" s="65"/>
      <c r="ED108" s="13"/>
      <c r="EE108" s="14"/>
      <c r="EG108" s="65"/>
      <c r="EH108" s="13"/>
      <c r="EI108" s="14"/>
      <c r="EK108" s="65"/>
      <c r="EL108" s="13"/>
      <c r="EM108" s="14"/>
      <c r="EO108" s="65"/>
      <c r="EP108" s="13"/>
      <c r="EQ108" s="14"/>
      <c r="ES108" s="65"/>
      <c r="ET108" s="13"/>
      <c r="EU108" s="14"/>
      <c r="EW108" s="65"/>
      <c r="EX108" s="13"/>
      <c r="EY108" s="14"/>
      <c r="FA108" s="65"/>
      <c r="FB108" s="13"/>
      <c r="FC108" s="14"/>
      <c r="FE108" s="65"/>
      <c r="FF108" s="13"/>
      <c r="FG108" s="14"/>
      <c r="FI108" s="65"/>
      <c r="FJ108" s="13"/>
      <c r="FK108" s="14"/>
      <c r="FM108" s="65"/>
      <c r="FN108" s="13"/>
      <c r="FO108" s="14"/>
      <c r="FQ108" s="65"/>
      <c r="FR108" s="13"/>
      <c r="FS108" s="14"/>
      <c r="FU108" s="65"/>
      <c r="FV108" s="13"/>
      <c r="FW108" s="14"/>
      <c r="FY108" s="65"/>
      <c r="FZ108" s="13"/>
      <c r="GA108" s="14"/>
      <c r="GC108" s="65"/>
      <c r="GD108" s="13"/>
      <c r="GE108" s="14"/>
      <c r="GG108" s="65"/>
      <c r="GH108" s="13"/>
      <c r="GI108" s="14"/>
      <c r="GK108" s="65"/>
      <c r="GL108" s="13"/>
      <c r="GM108" s="14"/>
      <c r="GO108" s="65"/>
      <c r="GP108" s="13"/>
      <c r="GQ108" s="14"/>
      <c r="GS108" s="65"/>
      <c r="GT108" s="13"/>
      <c r="GU108" s="14"/>
      <c r="GW108" s="65"/>
      <c r="GX108" s="13"/>
      <c r="GY108" s="14"/>
      <c r="HA108" s="65"/>
      <c r="HB108" s="13"/>
      <c r="HC108" s="14"/>
      <c r="HE108" s="65"/>
      <c r="HF108" s="13"/>
      <c r="HG108" s="14"/>
      <c r="HI108" s="65"/>
      <c r="HJ108" s="13"/>
      <c r="HK108" s="14"/>
      <c r="HM108" s="65"/>
      <c r="HN108" s="13"/>
      <c r="HO108" s="14"/>
      <c r="HQ108" s="65"/>
      <c r="HR108" s="13"/>
      <c r="HS108" s="14"/>
      <c r="HU108" s="65"/>
      <c r="HV108" s="13"/>
      <c r="HW108" s="14"/>
      <c r="HY108" s="65"/>
      <c r="HZ108" s="13"/>
      <c r="IA108" s="14"/>
      <c r="IC108" s="65"/>
      <c r="ID108" s="13"/>
      <c r="IE108" s="14"/>
      <c r="IG108" s="65"/>
      <c r="IH108" s="13"/>
      <c r="II108" s="14"/>
      <c r="IK108" s="65"/>
      <c r="IL108" s="13"/>
      <c r="IM108" s="14"/>
      <c r="IO108" s="65"/>
      <c r="IP108" s="13"/>
      <c r="IQ108" s="14"/>
      <c r="IS108" s="65"/>
      <c r="IT108" s="13"/>
      <c r="IU108" s="14"/>
      <c r="IW108" s="65"/>
      <c r="IX108" s="13"/>
      <c r="IY108" s="14"/>
      <c r="JA108" s="65"/>
      <c r="JB108" s="13"/>
      <c r="JC108" s="14"/>
      <c r="JE108" s="65"/>
      <c r="JF108" s="13"/>
      <c r="JG108" s="14"/>
      <c r="JI108" s="65"/>
      <c r="JJ108" s="13"/>
      <c r="JK108" s="14"/>
      <c r="JM108" s="65"/>
      <c r="JN108" s="13"/>
      <c r="JO108" s="14"/>
      <c r="JQ108" s="65"/>
      <c r="JR108" s="13"/>
      <c r="JS108" s="14"/>
      <c r="JU108" s="65"/>
      <c r="JV108" s="13"/>
      <c r="JW108" s="14"/>
      <c r="JY108" s="65"/>
      <c r="JZ108" s="13"/>
      <c r="KA108" s="14"/>
      <c r="KC108" s="65"/>
      <c r="KD108" s="13"/>
      <c r="KE108" s="14"/>
      <c r="KG108" s="65"/>
      <c r="KH108" s="13"/>
      <c r="KI108" s="14"/>
      <c r="KK108" s="65"/>
      <c r="KL108" s="13"/>
      <c r="KM108" s="14"/>
      <c r="KO108" s="65"/>
      <c r="KP108" s="13"/>
      <c r="KQ108" s="14"/>
      <c r="KS108" s="65"/>
      <c r="KT108" s="13"/>
      <c r="KU108" s="14"/>
      <c r="KW108" s="65"/>
      <c r="KX108" s="13"/>
      <c r="KY108" s="14"/>
      <c r="LA108" s="65"/>
      <c r="LB108" s="13"/>
      <c r="LC108" s="14"/>
      <c r="LE108" s="65"/>
      <c r="LF108" s="13"/>
      <c r="LG108" s="14"/>
      <c r="LI108" s="65"/>
      <c r="LJ108" s="13"/>
      <c r="LK108" s="14"/>
      <c r="LM108" s="65"/>
      <c r="LN108" s="13"/>
      <c r="LO108" s="14"/>
      <c r="LQ108" s="65"/>
      <c r="LR108" s="13"/>
      <c r="LS108" s="14"/>
      <c r="LU108" s="65"/>
      <c r="LV108" s="13"/>
      <c r="LW108" s="14"/>
      <c r="LY108" s="65"/>
      <c r="LZ108" s="13"/>
      <c r="MA108" s="14"/>
      <c r="MC108" s="65"/>
      <c r="MD108" s="13"/>
      <c r="ME108" s="14"/>
      <c r="MG108" s="65"/>
      <c r="MH108" s="13"/>
      <c r="MI108" s="14"/>
      <c r="MK108" s="65"/>
      <c r="ML108" s="13"/>
      <c r="MM108" s="14"/>
      <c r="MO108" s="65"/>
      <c r="MP108" s="13"/>
      <c r="MQ108" s="14"/>
      <c r="MS108" s="65"/>
      <c r="MT108" s="13"/>
      <c r="MU108" s="14"/>
    </row>
    <row r="109" spans="1:359" x14ac:dyDescent="0.25">
      <c r="A109" s="15">
        <f t="shared" si="171"/>
        <v>0</v>
      </c>
      <c r="B109" s="20">
        <v>42803</v>
      </c>
      <c r="D109" s="12">
        <v>67</v>
      </c>
      <c r="E109" s="40">
        <v>1142337.8729834706</v>
      </c>
      <c r="F109" s="14">
        <v>42533</v>
      </c>
      <c r="I109" s="12"/>
      <c r="J109" s="13"/>
      <c r="K109" s="14"/>
      <c r="N109" s="12"/>
      <c r="O109" s="13"/>
      <c r="P109" s="14"/>
      <c r="T109" s="15"/>
      <c r="U109" s="20"/>
      <c r="W109" s="12"/>
      <c r="X109" s="40"/>
      <c r="Y109" s="14"/>
      <c r="AB109" s="12"/>
      <c r="AC109" s="13"/>
      <c r="AD109" s="14"/>
      <c r="AG109" s="12"/>
      <c r="AH109" s="13"/>
      <c r="AI109" s="14"/>
      <c r="AK109" s="12"/>
      <c r="AL109" s="13"/>
      <c r="AM109" s="14"/>
      <c r="CK109" s="65"/>
      <c r="CL109" s="13"/>
      <c r="CO109" s="65"/>
      <c r="CP109" s="13"/>
      <c r="CS109" s="65"/>
      <c r="CT109" s="13"/>
      <c r="CW109" s="65"/>
      <c r="CX109" s="13"/>
      <c r="DA109" s="65"/>
      <c r="DB109" s="13"/>
      <c r="DE109" s="65"/>
      <c r="DF109" s="13"/>
      <c r="DI109" s="65"/>
      <c r="DJ109" s="13"/>
      <c r="DM109" s="65"/>
      <c r="DN109" s="13"/>
      <c r="DQ109" s="65"/>
      <c r="DR109" s="13"/>
      <c r="DU109" s="65"/>
      <c r="DV109" s="13"/>
      <c r="DY109" s="65">
        <f t="shared" si="185"/>
        <v>2</v>
      </c>
      <c r="DZ109" s="13">
        <f t="shared" si="175"/>
        <v>795398.08944042004</v>
      </c>
      <c r="EA109" s="14">
        <v>43114</v>
      </c>
      <c r="EC109" s="65"/>
      <c r="ED109" s="13"/>
      <c r="EE109" s="14"/>
      <c r="EG109" s="65"/>
      <c r="EH109" s="13"/>
      <c r="EI109" s="14"/>
      <c r="EK109" s="65"/>
      <c r="EL109" s="13"/>
      <c r="EM109" s="14"/>
      <c r="EO109" s="65"/>
      <c r="EP109" s="13"/>
      <c r="EQ109" s="14"/>
      <c r="ES109" s="65"/>
      <c r="ET109" s="13"/>
      <c r="EU109" s="14"/>
      <c r="EW109" s="65"/>
      <c r="EX109" s="13"/>
      <c r="EY109" s="14"/>
      <c r="FA109" s="65"/>
      <c r="FB109" s="13"/>
      <c r="FC109" s="14"/>
      <c r="FE109" s="65"/>
      <c r="FF109" s="13"/>
      <c r="FG109" s="14"/>
      <c r="FI109" s="65"/>
      <c r="FJ109" s="13"/>
      <c r="FK109" s="14"/>
      <c r="FM109" s="65"/>
      <c r="FN109" s="13"/>
      <c r="FO109" s="14"/>
      <c r="FQ109" s="65"/>
      <c r="FR109" s="13"/>
      <c r="FS109" s="14"/>
      <c r="FU109" s="65"/>
      <c r="FV109" s="13"/>
      <c r="FW109" s="14"/>
      <c r="FY109" s="65"/>
      <c r="FZ109" s="13"/>
      <c r="GA109" s="14"/>
      <c r="GC109" s="65"/>
      <c r="GD109" s="13"/>
      <c r="GE109" s="14"/>
      <c r="GG109" s="65"/>
      <c r="GH109" s="13"/>
      <c r="GI109" s="14"/>
      <c r="GK109" s="65"/>
      <c r="GL109" s="13"/>
      <c r="GM109" s="14"/>
      <c r="GO109" s="65"/>
      <c r="GP109" s="13"/>
      <c r="GQ109" s="14"/>
      <c r="GS109" s="65"/>
      <c r="GT109" s="13"/>
      <c r="GU109" s="14"/>
      <c r="GW109" s="65"/>
      <c r="GX109" s="13"/>
      <c r="GY109" s="14"/>
      <c r="HA109" s="65"/>
      <c r="HB109" s="13"/>
      <c r="HC109" s="14"/>
      <c r="HE109" s="65"/>
      <c r="HF109" s="13"/>
      <c r="HG109" s="14"/>
      <c r="HI109" s="65"/>
      <c r="HJ109" s="13"/>
      <c r="HK109" s="14"/>
      <c r="HM109" s="65"/>
      <c r="HN109" s="13"/>
      <c r="HO109" s="14"/>
      <c r="HQ109" s="65"/>
      <c r="HR109" s="13"/>
      <c r="HS109" s="14"/>
      <c r="HU109" s="65"/>
      <c r="HV109" s="13"/>
      <c r="HW109" s="14"/>
      <c r="HY109" s="65"/>
      <c r="HZ109" s="13"/>
      <c r="IA109" s="14"/>
      <c r="IC109" s="65"/>
      <c r="ID109" s="13"/>
      <c r="IE109" s="14"/>
      <c r="IG109" s="65"/>
      <c r="IH109" s="13"/>
      <c r="II109" s="14"/>
      <c r="IK109" s="65"/>
      <c r="IL109" s="13"/>
      <c r="IM109" s="14"/>
      <c r="IO109" s="65"/>
      <c r="IP109" s="13"/>
      <c r="IQ109" s="14"/>
      <c r="IS109" s="65"/>
      <c r="IT109" s="13"/>
      <c r="IU109" s="14"/>
      <c r="IW109" s="65"/>
      <c r="IX109" s="13"/>
      <c r="IY109" s="14"/>
      <c r="JA109" s="65"/>
      <c r="JB109" s="13"/>
      <c r="JC109" s="14"/>
      <c r="JE109" s="65"/>
      <c r="JF109" s="13"/>
      <c r="JG109" s="14"/>
      <c r="JI109" s="65"/>
      <c r="JJ109" s="13"/>
      <c r="JK109" s="14"/>
      <c r="JM109" s="65"/>
      <c r="JN109" s="13"/>
      <c r="JO109" s="14"/>
      <c r="JQ109" s="65"/>
      <c r="JR109" s="13"/>
      <c r="JS109" s="14"/>
      <c r="JU109" s="65"/>
      <c r="JV109" s="13"/>
      <c r="JW109" s="14"/>
      <c r="JY109" s="65"/>
      <c r="JZ109" s="13"/>
      <c r="KA109" s="14"/>
      <c r="KC109" s="65"/>
      <c r="KD109" s="13"/>
      <c r="KE109" s="14"/>
      <c r="KG109" s="65"/>
      <c r="KH109" s="13"/>
      <c r="KI109" s="14"/>
      <c r="KK109" s="65"/>
      <c r="KL109" s="13"/>
      <c r="KM109" s="14"/>
      <c r="KO109" s="65"/>
      <c r="KP109" s="13"/>
      <c r="KQ109" s="14"/>
      <c r="KS109" s="65"/>
      <c r="KT109" s="13"/>
      <c r="KU109" s="14"/>
      <c r="KW109" s="65"/>
      <c r="KX109" s="13"/>
      <c r="KY109" s="14"/>
      <c r="LA109" s="65"/>
      <c r="LB109" s="13"/>
      <c r="LC109" s="14"/>
      <c r="LE109" s="65"/>
      <c r="LF109" s="13"/>
      <c r="LG109" s="14"/>
      <c r="LI109" s="65"/>
      <c r="LJ109" s="13"/>
      <c r="LK109" s="14"/>
      <c r="LM109" s="65"/>
      <c r="LN109" s="13"/>
      <c r="LO109" s="14"/>
      <c r="LQ109" s="65"/>
      <c r="LR109" s="13"/>
      <c r="LS109" s="14"/>
      <c r="LU109" s="65"/>
      <c r="LV109" s="13"/>
      <c r="LW109" s="14"/>
      <c r="LY109" s="65"/>
      <c r="LZ109" s="13"/>
      <c r="MA109" s="14"/>
      <c r="MC109" s="65"/>
      <c r="MD109" s="13"/>
      <c r="ME109" s="14"/>
      <c r="MG109" s="65"/>
      <c r="MH109" s="13"/>
      <c r="MI109" s="14"/>
      <c r="MK109" s="65"/>
      <c r="ML109" s="13"/>
      <c r="MM109" s="14"/>
      <c r="MO109" s="65"/>
      <c r="MP109" s="13"/>
      <c r="MQ109" s="14"/>
      <c r="MS109" s="65"/>
      <c r="MT109" s="13"/>
      <c r="MU109" s="14"/>
    </row>
    <row r="110" spans="1:359" x14ac:dyDescent="0.25">
      <c r="A110" s="15">
        <f t="shared" si="171"/>
        <v>0</v>
      </c>
      <c r="B110" s="20">
        <v>42804</v>
      </c>
      <c r="D110" s="12">
        <v>66</v>
      </c>
      <c r="E110" s="12">
        <v>1142365.0970655011</v>
      </c>
      <c r="F110" s="14">
        <v>42534</v>
      </c>
      <c r="I110" s="12"/>
      <c r="J110" s="13"/>
      <c r="K110" s="14"/>
      <c r="N110" s="12"/>
      <c r="O110" s="13"/>
      <c r="P110" s="14"/>
      <c r="T110" s="15"/>
      <c r="U110" s="20"/>
      <c r="W110" s="12"/>
      <c r="X110" s="12"/>
      <c r="Y110" s="14"/>
      <c r="AB110" s="12"/>
      <c r="AC110" s="13"/>
      <c r="AD110" s="14"/>
      <c r="AG110" s="12"/>
      <c r="AH110" s="13"/>
      <c r="AI110" s="14"/>
      <c r="AK110" s="12"/>
      <c r="AL110" s="13"/>
      <c r="AM110" s="14"/>
      <c r="CK110" s="65"/>
      <c r="CL110" s="13"/>
      <c r="CO110" s="65"/>
      <c r="CP110" s="13"/>
      <c r="CS110" s="65"/>
      <c r="CT110" s="13"/>
      <c r="CW110" s="65"/>
      <c r="CX110" s="13"/>
      <c r="DA110" s="65"/>
      <c r="DB110" s="13"/>
      <c r="DE110" s="65"/>
      <c r="DF110" s="13"/>
      <c r="DI110" s="65"/>
      <c r="DJ110" s="13"/>
      <c r="DM110" s="65"/>
      <c r="DN110" s="13"/>
      <c r="DQ110" s="65"/>
      <c r="DR110" s="13"/>
      <c r="DU110" s="65"/>
      <c r="DV110" s="13"/>
      <c r="DY110" s="65">
        <f t="shared" si="185"/>
        <v>1</v>
      </c>
      <c r="DZ110" s="13">
        <f t="shared" si="175"/>
        <v>795439.87421958998</v>
      </c>
      <c r="EA110" s="14">
        <v>43115</v>
      </c>
      <c r="EC110" s="65"/>
      <c r="ED110" s="13"/>
      <c r="EE110" s="14"/>
      <c r="EG110" s="65"/>
      <c r="EH110" s="13"/>
      <c r="EI110" s="14"/>
      <c r="EK110" s="65"/>
      <c r="EL110" s="13"/>
      <c r="EM110" s="14"/>
      <c r="EO110" s="65"/>
      <c r="EP110" s="13"/>
      <c r="EQ110" s="14"/>
      <c r="ES110" s="65"/>
      <c r="ET110" s="13"/>
      <c r="EU110" s="14"/>
      <c r="EW110" s="65"/>
      <c r="EX110" s="13"/>
      <c r="EY110" s="14"/>
      <c r="FA110" s="65"/>
      <c r="FB110" s="13"/>
      <c r="FC110" s="14"/>
      <c r="FE110" s="65"/>
      <c r="FF110" s="13"/>
      <c r="FG110" s="14"/>
      <c r="FI110" s="65"/>
      <c r="FJ110" s="13"/>
      <c r="FK110" s="14"/>
      <c r="FM110" s="65"/>
      <c r="FN110" s="13"/>
      <c r="FO110" s="14"/>
      <c r="FQ110" s="65"/>
      <c r="FR110" s="13"/>
      <c r="FS110" s="14"/>
      <c r="FU110" s="65"/>
      <c r="FV110" s="13"/>
      <c r="FW110" s="14"/>
      <c r="FY110" s="65"/>
      <c r="FZ110" s="13"/>
      <c r="GA110" s="14"/>
      <c r="GC110" s="65"/>
      <c r="GD110" s="13"/>
      <c r="GE110" s="14"/>
      <c r="GG110" s="65"/>
      <c r="GH110" s="13"/>
      <c r="GI110" s="14"/>
      <c r="GK110" s="65"/>
      <c r="GL110" s="13"/>
      <c r="GM110" s="14"/>
      <c r="GO110" s="65"/>
      <c r="GP110" s="13"/>
      <c r="GQ110" s="14"/>
      <c r="GS110" s="65"/>
      <c r="GT110" s="13"/>
      <c r="GU110" s="14"/>
      <c r="GW110" s="65"/>
      <c r="GX110" s="13"/>
      <c r="GY110" s="14"/>
      <c r="HA110" s="65"/>
      <c r="HB110" s="13"/>
      <c r="HC110" s="14"/>
      <c r="HE110" s="65"/>
      <c r="HF110" s="13"/>
      <c r="HG110" s="14"/>
      <c r="HI110" s="65"/>
      <c r="HJ110" s="13"/>
      <c r="HK110" s="14"/>
      <c r="HM110" s="65"/>
      <c r="HN110" s="13"/>
      <c r="HO110" s="14"/>
      <c r="HQ110" s="65"/>
      <c r="HR110" s="13"/>
      <c r="HS110" s="14"/>
      <c r="HU110" s="65"/>
      <c r="HV110" s="13"/>
      <c r="HW110" s="14"/>
      <c r="HY110" s="65"/>
      <c r="HZ110" s="13"/>
      <c r="IA110" s="14"/>
      <c r="IC110" s="65"/>
      <c r="ID110" s="13"/>
      <c r="IE110" s="14"/>
      <c r="IG110" s="65"/>
      <c r="IH110" s="13"/>
      <c r="II110" s="14"/>
      <c r="IK110" s="65"/>
      <c r="IL110" s="13"/>
      <c r="IM110" s="14"/>
      <c r="IO110" s="65"/>
      <c r="IP110" s="13"/>
      <c r="IQ110" s="14"/>
      <c r="IS110" s="65"/>
      <c r="IT110" s="13"/>
      <c r="IU110" s="14"/>
      <c r="IW110" s="65"/>
      <c r="IX110" s="13"/>
      <c r="IY110" s="14"/>
      <c r="JA110" s="65"/>
      <c r="JB110" s="13"/>
      <c r="JC110" s="14"/>
      <c r="JE110" s="65"/>
      <c r="JF110" s="13"/>
      <c r="JG110" s="14"/>
      <c r="JI110" s="65"/>
      <c r="JJ110" s="13"/>
      <c r="JK110" s="14"/>
      <c r="JM110" s="65"/>
      <c r="JN110" s="13"/>
      <c r="JO110" s="14"/>
      <c r="JQ110" s="65"/>
      <c r="JR110" s="13"/>
      <c r="JS110" s="14"/>
      <c r="JU110" s="65"/>
      <c r="JV110" s="13"/>
      <c r="JW110" s="14"/>
      <c r="JY110" s="65"/>
      <c r="JZ110" s="13"/>
      <c r="KA110" s="14"/>
      <c r="KC110" s="65"/>
      <c r="KD110" s="13"/>
      <c r="KE110" s="14"/>
      <c r="KG110" s="65"/>
      <c r="KH110" s="13"/>
      <c r="KI110" s="14"/>
      <c r="KK110" s="65"/>
      <c r="KL110" s="13"/>
      <c r="KM110" s="14"/>
      <c r="KO110" s="65"/>
      <c r="KP110" s="13"/>
      <c r="KQ110" s="14"/>
      <c r="KS110" s="65"/>
      <c r="KT110" s="13"/>
      <c r="KU110" s="14"/>
      <c r="KW110" s="65"/>
      <c r="KX110" s="13"/>
      <c r="KY110" s="14"/>
      <c r="LA110" s="65"/>
      <c r="LB110" s="13"/>
      <c r="LC110" s="14"/>
      <c r="LE110" s="65"/>
      <c r="LF110" s="13"/>
      <c r="LG110" s="14"/>
      <c r="LI110" s="65"/>
      <c r="LJ110" s="13"/>
      <c r="LK110" s="14"/>
      <c r="LM110" s="65"/>
      <c r="LN110" s="13"/>
      <c r="LO110" s="14"/>
      <c r="LQ110" s="65"/>
      <c r="LR110" s="13"/>
      <c r="LS110" s="14"/>
      <c r="LU110" s="65"/>
      <c r="LV110" s="13"/>
      <c r="LW110" s="14"/>
      <c r="LY110" s="65"/>
      <c r="LZ110" s="13"/>
      <c r="MA110" s="14"/>
      <c r="MC110" s="65"/>
      <c r="MD110" s="13"/>
      <c r="ME110" s="14"/>
      <c r="MG110" s="65"/>
      <c r="MH110" s="13"/>
      <c r="MI110" s="14"/>
      <c r="MK110" s="65"/>
      <c r="ML110" s="13"/>
      <c r="MM110" s="14"/>
      <c r="MO110" s="65"/>
      <c r="MP110" s="13"/>
      <c r="MQ110" s="14"/>
      <c r="MS110" s="65"/>
      <c r="MT110" s="13"/>
      <c r="MU110" s="14"/>
    </row>
    <row r="111" spans="1:359" x14ac:dyDescent="0.25">
      <c r="A111" s="15">
        <f t="shared" si="171"/>
        <v>0</v>
      </c>
      <c r="B111" s="20">
        <v>42805</v>
      </c>
      <c r="D111" s="12">
        <v>65</v>
      </c>
      <c r="E111" s="12">
        <v>1142392.3224451663</v>
      </c>
      <c r="F111" s="14">
        <v>42535</v>
      </c>
      <c r="I111" s="12"/>
      <c r="J111" s="13"/>
      <c r="K111" s="14"/>
      <c r="N111" s="12"/>
      <c r="O111" s="13"/>
      <c r="P111" s="14"/>
      <c r="T111" s="15"/>
      <c r="U111" s="20"/>
      <c r="W111" s="12"/>
      <c r="X111" s="12"/>
      <c r="Y111" s="14"/>
      <c r="AB111" s="12"/>
      <c r="AC111" s="13"/>
      <c r="AD111" s="14"/>
      <c r="AG111" s="12"/>
      <c r="AH111" s="13"/>
      <c r="AI111" s="14"/>
      <c r="AK111" s="12"/>
      <c r="AL111" s="13"/>
      <c r="AM111" s="14"/>
      <c r="CK111" s="65"/>
      <c r="CL111" s="13"/>
      <c r="CO111" s="65"/>
      <c r="CP111" s="13"/>
      <c r="CS111" s="65"/>
      <c r="CT111" s="13"/>
      <c r="CW111" s="65"/>
      <c r="CX111" s="13"/>
      <c r="DA111" s="65"/>
      <c r="DB111" s="13"/>
      <c r="DE111" s="65"/>
      <c r="DF111" s="13"/>
      <c r="DI111" s="65"/>
      <c r="DJ111" s="13"/>
      <c r="DM111" s="65"/>
      <c r="DN111" s="13"/>
      <c r="DQ111" s="65"/>
      <c r="DR111" s="13"/>
      <c r="DU111" s="65"/>
      <c r="DV111" s="13"/>
      <c r="DY111" s="65">
        <f t="shared" si="185"/>
        <v>0</v>
      </c>
      <c r="DZ111" s="13">
        <f t="shared" si="175"/>
        <v>795481.66338916402</v>
      </c>
      <c r="EA111" s="14">
        <v>43116</v>
      </c>
      <c r="EC111" s="65"/>
      <c r="ED111" s="13"/>
      <c r="EE111" s="14"/>
      <c r="EG111" s="65"/>
      <c r="EH111" s="13"/>
      <c r="EI111" s="14"/>
      <c r="EK111" s="65"/>
      <c r="EL111" s="13"/>
      <c r="EM111" s="14"/>
      <c r="EO111" s="65"/>
      <c r="EP111" s="13"/>
      <c r="EQ111" s="14"/>
      <c r="ES111" s="65"/>
      <c r="ET111" s="13"/>
      <c r="EU111" s="14"/>
      <c r="EW111" s="65"/>
      <c r="EX111" s="13"/>
      <c r="EY111" s="14"/>
      <c r="FA111" s="65"/>
      <c r="FB111" s="13"/>
      <c r="FC111" s="14"/>
      <c r="FE111" s="65"/>
      <c r="FF111" s="13"/>
      <c r="FG111" s="14"/>
      <c r="FI111" s="65"/>
      <c r="FJ111" s="13"/>
      <c r="FK111" s="14"/>
      <c r="FM111" s="65"/>
      <c r="FN111" s="13"/>
      <c r="FO111" s="14"/>
      <c r="FQ111" s="65"/>
      <c r="FR111" s="13"/>
      <c r="FS111" s="14"/>
      <c r="FU111" s="65"/>
      <c r="FV111" s="13"/>
      <c r="FW111" s="14"/>
      <c r="FY111" s="65"/>
      <c r="FZ111" s="13"/>
      <c r="GA111" s="14"/>
      <c r="GC111" s="65"/>
      <c r="GD111" s="13"/>
      <c r="GE111" s="14"/>
      <c r="GG111" s="65"/>
      <c r="GH111" s="13"/>
      <c r="GI111" s="14"/>
      <c r="GK111" s="65"/>
      <c r="GL111" s="13"/>
      <c r="GM111" s="14"/>
      <c r="GO111" s="65"/>
      <c r="GP111" s="13"/>
      <c r="GQ111" s="14"/>
      <c r="GS111" s="65"/>
      <c r="GT111" s="13"/>
      <c r="GU111" s="14"/>
      <c r="GW111" s="65"/>
      <c r="GX111" s="13"/>
      <c r="GY111" s="14"/>
      <c r="HA111" s="65"/>
      <c r="HB111" s="13"/>
      <c r="HC111" s="14"/>
      <c r="HE111" s="65"/>
      <c r="HF111" s="13"/>
      <c r="HG111" s="14"/>
      <c r="HI111" s="65"/>
      <c r="HJ111" s="13"/>
      <c r="HK111" s="14"/>
      <c r="HM111" s="65"/>
      <c r="HN111" s="13"/>
      <c r="HO111" s="14"/>
      <c r="HQ111" s="65"/>
      <c r="HR111" s="13"/>
      <c r="HS111" s="14"/>
      <c r="HU111" s="65"/>
      <c r="HV111" s="13"/>
      <c r="HW111" s="14"/>
      <c r="HY111" s="65"/>
      <c r="HZ111" s="13"/>
      <c r="IA111" s="14"/>
      <c r="IC111" s="65"/>
      <c r="ID111" s="13"/>
      <c r="IE111" s="14"/>
      <c r="IG111" s="65"/>
      <c r="IH111" s="13"/>
      <c r="II111" s="14"/>
      <c r="IK111" s="65"/>
      <c r="IL111" s="13"/>
      <c r="IM111" s="14"/>
      <c r="IO111" s="65"/>
      <c r="IP111" s="13"/>
      <c r="IQ111" s="14"/>
      <c r="IS111" s="65"/>
      <c r="IT111" s="13"/>
      <c r="IU111" s="14"/>
      <c r="IW111" s="65"/>
      <c r="IX111" s="13"/>
      <c r="IY111" s="14"/>
      <c r="JA111" s="65"/>
      <c r="JB111" s="13"/>
      <c r="JC111" s="14"/>
      <c r="JE111" s="65"/>
      <c r="JF111" s="13"/>
      <c r="JG111" s="14"/>
      <c r="JI111" s="65"/>
      <c r="JJ111" s="13"/>
      <c r="JK111" s="14"/>
      <c r="JM111" s="65"/>
      <c r="JN111" s="13"/>
      <c r="JO111" s="14"/>
      <c r="JQ111" s="65"/>
      <c r="JR111" s="13"/>
      <c r="JS111" s="14"/>
      <c r="JU111" s="65"/>
      <c r="JV111" s="13"/>
      <c r="JW111" s="14"/>
      <c r="JY111" s="65"/>
      <c r="JZ111" s="13"/>
      <c r="KA111" s="14"/>
      <c r="KC111" s="65"/>
      <c r="KD111" s="13"/>
      <c r="KE111" s="14"/>
      <c r="KG111" s="65"/>
      <c r="KH111" s="13"/>
      <c r="KI111" s="14"/>
      <c r="KK111" s="65"/>
      <c r="KL111" s="13"/>
      <c r="KM111" s="14"/>
      <c r="KO111" s="65"/>
      <c r="KP111" s="13"/>
      <c r="KQ111" s="14"/>
      <c r="KS111" s="65"/>
      <c r="KT111" s="13"/>
      <c r="KU111" s="14"/>
      <c r="KW111" s="65"/>
      <c r="KX111" s="13"/>
      <c r="KY111" s="14"/>
      <c r="LA111" s="65"/>
      <c r="LB111" s="13"/>
      <c r="LC111" s="14"/>
      <c r="LE111" s="65"/>
      <c r="LF111" s="13"/>
      <c r="LG111" s="14"/>
      <c r="LI111" s="65"/>
      <c r="LJ111" s="13"/>
      <c r="LK111" s="14"/>
      <c r="LM111" s="65"/>
      <c r="LN111" s="13"/>
      <c r="LO111" s="14"/>
      <c r="LQ111" s="65"/>
      <c r="LR111" s="13"/>
      <c r="LS111" s="14"/>
      <c r="LU111" s="65"/>
      <c r="LV111" s="13"/>
      <c r="LW111" s="14"/>
      <c r="LY111" s="65"/>
      <c r="LZ111" s="13"/>
      <c r="MA111" s="14"/>
      <c r="MC111" s="65"/>
      <c r="MD111" s="13"/>
      <c r="ME111" s="14"/>
      <c r="MG111" s="65"/>
      <c r="MH111" s="13"/>
      <c r="MI111" s="14"/>
      <c r="MK111" s="65"/>
      <c r="ML111" s="13"/>
      <c r="MM111" s="14"/>
      <c r="MO111" s="65"/>
      <c r="MP111" s="13"/>
      <c r="MQ111" s="14"/>
      <c r="MS111" s="65"/>
      <c r="MT111" s="13"/>
      <c r="MU111" s="14"/>
    </row>
    <row r="112" spans="1:359" x14ac:dyDescent="0.25">
      <c r="A112" s="15">
        <f t="shared" si="171"/>
        <v>0</v>
      </c>
      <c r="B112" s="20">
        <v>42806</v>
      </c>
      <c r="D112" s="12">
        <v>64</v>
      </c>
      <c r="E112" s="12">
        <v>1142419.5491225582</v>
      </c>
      <c r="F112" s="14">
        <v>42536</v>
      </c>
      <c r="I112" s="12"/>
      <c r="J112" s="13"/>
      <c r="K112" s="14"/>
      <c r="N112" s="12"/>
      <c r="O112" s="13"/>
      <c r="P112" s="14"/>
      <c r="T112" s="15"/>
      <c r="U112" s="20"/>
      <c r="W112" s="12"/>
      <c r="X112" s="12"/>
      <c r="Y112" s="14"/>
      <c r="AB112" s="12"/>
      <c r="AC112" s="13"/>
      <c r="AD112" s="14"/>
      <c r="AG112" s="12"/>
      <c r="AH112" s="13"/>
      <c r="AI112" s="14"/>
      <c r="AK112" s="12"/>
      <c r="AL112" s="13"/>
      <c r="AM112" s="14"/>
      <c r="CK112" s="65"/>
      <c r="CL112" s="13"/>
      <c r="CO112" s="65"/>
      <c r="CP112" s="13"/>
      <c r="CS112" s="65"/>
      <c r="CT112" s="13"/>
      <c r="CW112" s="65"/>
      <c r="CX112" s="13"/>
      <c r="DA112" s="65"/>
      <c r="DB112" s="13"/>
      <c r="DE112" s="65"/>
      <c r="DF112" s="13"/>
      <c r="DI112" s="65"/>
      <c r="DJ112" s="13"/>
      <c r="DM112" s="65"/>
      <c r="DN112" s="13"/>
      <c r="DQ112" s="65"/>
      <c r="DR112" s="13"/>
      <c r="DU112" s="65"/>
      <c r="DV112" s="13"/>
      <c r="DY112" s="65"/>
      <c r="DZ112" s="13"/>
      <c r="EA112" s="14"/>
      <c r="EC112" s="65"/>
      <c r="ED112" s="13"/>
      <c r="EE112" s="14"/>
      <c r="EG112" s="65"/>
      <c r="EH112" s="13"/>
      <c r="EI112" s="14"/>
      <c r="EK112" s="65"/>
      <c r="EL112" s="13"/>
      <c r="EM112" s="14"/>
      <c r="EO112" s="65"/>
      <c r="EP112" s="13"/>
      <c r="EQ112" s="14"/>
      <c r="ES112" s="65"/>
      <c r="ET112" s="13"/>
      <c r="EU112" s="14"/>
      <c r="EW112" s="65"/>
      <c r="EX112" s="13"/>
      <c r="EY112" s="14"/>
      <c r="FA112" s="65"/>
      <c r="FB112" s="13"/>
      <c r="FC112" s="14"/>
      <c r="FE112" s="65"/>
      <c r="FF112" s="13"/>
      <c r="FG112" s="14"/>
      <c r="FI112" s="65"/>
      <c r="FJ112" s="13"/>
      <c r="FK112" s="14"/>
      <c r="FM112" s="65"/>
      <c r="FN112" s="13"/>
      <c r="FO112" s="14"/>
      <c r="FQ112" s="65"/>
      <c r="FR112" s="13"/>
      <c r="FS112" s="14"/>
      <c r="FU112" s="65"/>
      <c r="FV112" s="13"/>
      <c r="FW112" s="14"/>
      <c r="FY112" s="65"/>
      <c r="FZ112" s="13"/>
      <c r="GA112" s="14"/>
      <c r="GC112" s="65"/>
      <c r="GD112" s="13"/>
      <c r="GE112" s="14"/>
      <c r="GG112" s="65"/>
      <c r="GH112" s="13"/>
      <c r="GI112" s="14"/>
      <c r="GK112" s="65"/>
      <c r="GL112" s="13"/>
      <c r="GM112" s="14"/>
      <c r="GO112" s="65"/>
      <c r="GP112" s="13"/>
      <c r="GQ112" s="14"/>
      <c r="GS112" s="65"/>
      <c r="GT112" s="13"/>
      <c r="GU112" s="14"/>
      <c r="GW112" s="65"/>
      <c r="GX112" s="13"/>
      <c r="GY112" s="14"/>
      <c r="HA112" s="65"/>
      <c r="HB112" s="13"/>
      <c r="HC112" s="14"/>
      <c r="HE112" s="65"/>
      <c r="HF112" s="13"/>
      <c r="HG112" s="14"/>
      <c r="HI112" s="65"/>
      <c r="HJ112" s="13"/>
      <c r="HK112" s="14"/>
      <c r="HM112" s="65"/>
      <c r="HN112" s="13"/>
      <c r="HO112" s="14"/>
      <c r="HQ112" s="65"/>
      <c r="HR112" s="13"/>
      <c r="HS112" s="14"/>
      <c r="HU112" s="65"/>
      <c r="HV112" s="13"/>
      <c r="HW112" s="14"/>
      <c r="HY112" s="65"/>
      <c r="HZ112" s="13"/>
      <c r="IA112" s="14"/>
      <c r="IC112" s="65"/>
      <c r="ID112" s="13"/>
      <c r="IE112" s="14"/>
      <c r="IG112" s="65"/>
      <c r="IH112" s="13"/>
      <c r="II112" s="14"/>
      <c r="IK112" s="65"/>
      <c r="IL112" s="13"/>
      <c r="IM112" s="14"/>
      <c r="IO112" s="65"/>
      <c r="IP112" s="13"/>
      <c r="IQ112" s="14"/>
      <c r="IS112" s="65"/>
      <c r="IT112" s="13"/>
      <c r="IU112" s="14"/>
      <c r="IW112" s="65"/>
      <c r="IX112" s="13"/>
      <c r="IY112" s="14"/>
      <c r="JA112" s="65"/>
      <c r="JB112" s="13"/>
      <c r="JC112" s="14"/>
      <c r="JE112" s="65"/>
      <c r="JF112" s="13"/>
      <c r="JG112" s="14"/>
      <c r="JI112" s="65"/>
      <c r="JJ112" s="13"/>
      <c r="JK112" s="14"/>
      <c r="JM112" s="65"/>
      <c r="JN112" s="13"/>
      <c r="JO112" s="14"/>
      <c r="JQ112" s="65"/>
      <c r="JR112" s="13"/>
      <c r="JS112" s="14"/>
      <c r="JU112" s="65"/>
      <c r="JV112" s="13"/>
      <c r="JW112" s="14"/>
      <c r="JY112" s="65"/>
      <c r="JZ112" s="13"/>
      <c r="KA112" s="14"/>
      <c r="KC112" s="65"/>
      <c r="KD112" s="13"/>
      <c r="KE112" s="14"/>
      <c r="KG112" s="65"/>
      <c r="KH112" s="13"/>
      <c r="KI112" s="14"/>
      <c r="KK112" s="65"/>
      <c r="KL112" s="13"/>
      <c r="KM112" s="14"/>
      <c r="KO112" s="65"/>
      <c r="KP112" s="13"/>
      <c r="KQ112" s="14"/>
      <c r="KS112" s="65"/>
      <c r="KT112" s="13"/>
      <c r="KU112" s="14"/>
      <c r="KW112" s="65"/>
      <c r="KX112" s="13"/>
      <c r="KY112" s="14"/>
      <c r="LA112" s="65"/>
      <c r="LB112" s="13"/>
      <c r="LC112" s="14"/>
      <c r="LE112" s="65"/>
      <c r="LF112" s="13"/>
      <c r="LG112" s="14"/>
      <c r="LI112" s="65"/>
      <c r="LJ112" s="13"/>
      <c r="LK112" s="14"/>
      <c r="LM112" s="65"/>
      <c r="LN112" s="13"/>
      <c r="LO112" s="14"/>
      <c r="LQ112" s="65"/>
      <c r="LR112" s="13"/>
      <c r="LS112" s="14"/>
      <c r="LU112" s="65"/>
      <c r="LV112" s="13"/>
      <c r="LW112" s="14"/>
      <c r="LY112" s="65"/>
      <c r="LZ112" s="13"/>
      <c r="MA112" s="14"/>
      <c r="MC112" s="65"/>
      <c r="MD112" s="13"/>
      <c r="ME112" s="14"/>
      <c r="MG112" s="65"/>
      <c r="MH112" s="13"/>
      <c r="MI112" s="14"/>
      <c r="MK112" s="65"/>
      <c r="ML112" s="13"/>
      <c r="MM112" s="14"/>
      <c r="MO112" s="65"/>
      <c r="MP112" s="13"/>
      <c r="MQ112" s="14"/>
      <c r="MS112" s="65"/>
      <c r="MT112" s="13"/>
      <c r="MU112" s="14"/>
    </row>
    <row r="113" spans="1:359" x14ac:dyDescent="0.25">
      <c r="A113" s="15">
        <f t="shared" si="171"/>
        <v>0</v>
      </c>
      <c r="B113" s="20">
        <v>42807</v>
      </c>
      <c r="D113" s="12">
        <v>63</v>
      </c>
      <c r="E113" s="12">
        <v>1142446.7770977698</v>
      </c>
      <c r="F113" s="14">
        <v>42537</v>
      </c>
      <c r="I113" s="12"/>
      <c r="J113" s="13"/>
      <c r="K113" s="14"/>
      <c r="N113" s="12"/>
      <c r="O113" s="13"/>
      <c r="P113" s="14"/>
      <c r="T113" s="15"/>
      <c r="U113" s="20"/>
      <c r="W113" s="12"/>
      <c r="X113" s="12"/>
      <c r="Y113" s="14"/>
      <c r="AB113" s="12"/>
      <c r="AC113" s="13"/>
      <c r="AD113" s="14"/>
      <c r="AG113" s="12"/>
      <c r="AH113" s="13"/>
      <c r="AI113" s="14"/>
      <c r="AK113" s="12"/>
      <c r="AL113" s="13"/>
      <c r="AM113" s="14"/>
      <c r="CK113" s="65"/>
      <c r="CL113" s="13"/>
      <c r="CO113" s="65"/>
      <c r="CP113" s="13"/>
      <c r="CS113" s="65"/>
      <c r="CT113" s="13"/>
      <c r="CW113" s="65"/>
      <c r="CX113" s="13"/>
      <c r="DA113" s="65"/>
      <c r="DB113" s="13"/>
      <c r="DE113" s="65"/>
      <c r="DF113" s="13"/>
      <c r="DI113" s="65"/>
      <c r="DJ113" s="13"/>
      <c r="DM113" s="65"/>
      <c r="DN113" s="13"/>
      <c r="DQ113" s="65"/>
      <c r="DR113" s="13"/>
      <c r="DU113" s="65"/>
      <c r="DV113" s="13"/>
      <c r="DY113" s="65"/>
      <c r="DZ113" s="13"/>
      <c r="EA113" s="14"/>
      <c r="EC113" s="65"/>
      <c r="ED113" s="13"/>
      <c r="EE113" s="14"/>
      <c r="EG113" s="65"/>
      <c r="EH113" s="13"/>
      <c r="EI113" s="14"/>
      <c r="EK113" s="65"/>
      <c r="EL113" s="13"/>
      <c r="EM113" s="14"/>
      <c r="EO113" s="65"/>
      <c r="EP113" s="13"/>
      <c r="EQ113" s="14"/>
      <c r="ES113" s="65"/>
      <c r="ET113" s="13"/>
      <c r="EU113" s="14"/>
      <c r="EW113" s="65"/>
      <c r="EX113" s="13"/>
      <c r="EY113" s="14"/>
      <c r="FA113" s="65"/>
      <c r="FB113" s="13"/>
      <c r="FC113" s="14"/>
      <c r="FE113" s="65"/>
      <c r="FF113" s="13"/>
      <c r="FG113" s="14"/>
      <c r="FI113" s="65"/>
      <c r="FJ113" s="13"/>
      <c r="FK113" s="14"/>
      <c r="FM113" s="65"/>
      <c r="FN113" s="13"/>
      <c r="FO113" s="14"/>
      <c r="FQ113" s="65"/>
      <c r="FR113" s="13"/>
      <c r="FS113" s="14"/>
      <c r="FU113" s="65"/>
      <c r="FV113" s="13"/>
      <c r="FW113" s="14"/>
      <c r="FY113" s="65"/>
      <c r="FZ113" s="13"/>
      <c r="GA113" s="14"/>
      <c r="GC113" s="65"/>
      <c r="GD113" s="13"/>
      <c r="GE113" s="14"/>
      <c r="GG113" s="65"/>
      <c r="GH113" s="13"/>
      <c r="GI113" s="14"/>
      <c r="GK113" s="65"/>
      <c r="GL113" s="13"/>
      <c r="GM113" s="14"/>
      <c r="GO113" s="65"/>
      <c r="GP113" s="13"/>
      <c r="GQ113" s="14"/>
      <c r="GS113" s="65"/>
      <c r="GT113" s="13"/>
      <c r="GU113" s="14"/>
      <c r="GW113" s="65"/>
      <c r="GX113" s="13"/>
      <c r="GY113" s="14"/>
      <c r="HA113" s="65"/>
      <c r="HB113" s="13"/>
      <c r="HC113" s="14"/>
      <c r="HE113" s="65"/>
      <c r="HF113" s="13"/>
      <c r="HG113" s="14"/>
      <c r="HI113" s="65"/>
      <c r="HJ113" s="13"/>
      <c r="HK113" s="14"/>
      <c r="HM113" s="65"/>
      <c r="HN113" s="13"/>
      <c r="HO113" s="14"/>
      <c r="HQ113" s="65"/>
      <c r="HR113" s="13"/>
      <c r="HS113" s="14"/>
      <c r="HU113" s="65"/>
      <c r="HV113" s="13"/>
      <c r="HW113" s="14"/>
      <c r="HY113" s="65"/>
      <c r="HZ113" s="13"/>
      <c r="IA113" s="14"/>
      <c r="IC113" s="65"/>
      <c r="ID113" s="13"/>
      <c r="IE113" s="14"/>
      <c r="IG113" s="65"/>
      <c r="IH113" s="13"/>
      <c r="II113" s="14"/>
      <c r="IK113" s="65"/>
      <c r="IL113" s="13"/>
      <c r="IM113" s="14"/>
      <c r="IO113" s="65"/>
      <c r="IP113" s="13"/>
      <c r="IQ113" s="14"/>
      <c r="IS113" s="65"/>
      <c r="IT113" s="13"/>
      <c r="IU113" s="14"/>
      <c r="IW113" s="65"/>
      <c r="IX113" s="13"/>
      <c r="IY113" s="14"/>
      <c r="JA113" s="65"/>
      <c r="JB113" s="13"/>
      <c r="JC113" s="14"/>
      <c r="JE113" s="65"/>
      <c r="JF113" s="13"/>
      <c r="JG113" s="14"/>
      <c r="JI113" s="65"/>
      <c r="JJ113" s="13"/>
      <c r="JK113" s="14"/>
      <c r="JM113" s="65"/>
      <c r="JN113" s="13"/>
      <c r="JO113" s="14"/>
      <c r="JQ113" s="65"/>
      <c r="JR113" s="13"/>
      <c r="JS113" s="14"/>
      <c r="JU113" s="65"/>
      <c r="JV113" s="13"/>
      <c r="JW113" s="14"/>
      <c r="JY113" s="65"/>
      <c r="JZ113" s="13"/>
      <c r="KA113" s="14"/>
      <c r="KC113" s="65"/>
      <c r="KD113" s="13"/>
      <c r="KE113" s="14"/>
      <c r="KG113" s="65"/>
      <c r="KH113" s="13"/>
      <c r="KI113" s="14"/>
      <c r="KK113" s="65"/>
      <c r="KL113" s="13"/>
      <c r="KM113" s="14"/>
      <c r="KO113" s="65"/>
      <c r="KP113" s="13"/>
      <c r="KQ113" s="14"/>
      <c r="KS113" s="65"/>
      <c r="KT113" s="13"/>
      <c r="KU113" s="14"/>
      <c r="KW113" s="65"/>
      <c r="KX113" s="13"/>
      <c r="KY113" s="14"/>
      <c r="LA113" s="65"/>
      <c r="LB113" s="13"/>
      <c r="LC113" s="14"/>
      <c r="LE113" s="65"/>
      <c r="LF113" s="13"/>
      <c r="LG113" s="14"/>
      <c r="LI113" s="65"/>
      <c r="LJ113" s="13"/>
      <c r="LK113" s="14"/>
      <c r="LM113" s="65"/>
      <c r="LN113" s="13"/>
      <c r="LO113" s="14"/>
      <c r="LQ113" s="65"/>
      <c r="LR113" s="13"/>
      <c r="LS113" s="14"/>
      <c r="LU113" s="65"/>
      <c r="LV113" s="13"/>
      <c r="LW113" s="14"/>
      <c r="LY113" s="65"/>
      <c r="LZ113" s="13"/>
      <c r="MA113" s="14"/>
      <c r="MC113" s="65"/>
      <c r="MD113" s="13"/>
      <c r="ME113" s="14"/>
      <c r="MG113" s="65"/>
      <c r="MH113" s="13"/>
      <c r="MI113" s="14"/>
      <c r="MK113" s="65"/>
      <c r="ML113" s="13"/>
      <c r="MM113" s="14"/>
      <c r="MO113" s="65"/>
      <c r="MP113" s="13"/>
      <c r="MQ113" s="14"/>
      <c r="MS113" s="65"/>
      <c r="MT113" s="13"/>
      <c r="MU113" s="14"/>
    </row>
    <row r="114" spans="1:359" hidden="1" x14ac:dyDescent="0.25">
      <c r="A114" s="15">
        <f t="shared" si="171"/>
        <v>0</v>
      </c>
      <c r="B114" s="20">
        <v>42808</v>
      </c>
      <c r="D114" s="12">
        <v>62</v>
      </c>
      <c r="E114" s="12">
        <v>1142474.0063708937</v>
      </c>
      <c r="F114" s="14">
        <v>42538</v>
      </c>
      <c r="I114" s="12"/>
      <c r="J114" s="13"/>
      <c r="K114" s="14"/>
      <c r="N114" s="12"/>
      <c r="O114" s="13"/>
      <c r="P114" s="14"/>
      <c r="T114" s="15"/>
      <c r="U114" s="20"/>
      <c r="W114" s="12"/>
      <c r="X114" s="12"/>
      <c r="Y114" s="14"/>
      <c r="AB114" s="12"/>
      <c r="AC114" s="13"/>
      <c r="AD114" s="14"/>
      <c r="AG114" s="12"/>
      <c r="AH114" s="13"/>
      <c r="AI114" s="14"/>
      <c r="AK114" s="12"/>
      <c r="AL114" s="13"/>
      <c r="AM114" s="14"/>
      <c r="CK114" s="65"/>
      <c r="CL114" s="13"/>
      <c r="CO114" s="65"/>
      <c r="CP114" s="13"/>
      <c r="CS114" s="65"/>
      <c r="CT114" s="13"/>
      <c r="CW114" s="65"/>
      <c r="CX114" s="13"/>
      <c r="DA114" s="65"/>
      <c r="DB114" s="13"/>
      <c r="DE114" s="65"/>
      <c r="DF114" s="13"/>
      <c r="DI114" s="65"/>
      <c r="DJ114" s="13"/>
      <c r="DM114" s="65"/>
      <c r="DN114" s="13"/>
      <c r="DQ114" s="65"/>
      <c r="DR114" s="13"/>
      <c r="DU114" s="65"/>
      <c r="DV114" s="13"/>
      <c r="DY114" s="65"/>
      <c r="DZ114" s="13"/>
      <c r="EA114" s="14"/>
      <c r="EC114" s="65"/>
      <c r="ED114" s="13"/>
      <c r="EE114" s="14"/>
      <c r="EG114" s="65"/>
      <c r="EH114" s="13"/>
      <c r="EI114" s="14"/>
      <c r="EK114" s="65"/>
      <c r="EL114" s="13"/>
      <c r="EM114" s="14"/>
      <c r="EO114" s="65"/>
      <c r="EP114" s="13"/>
      <c r="EQ114" s="14"/>
      <c r="ES114" s="65"/>
      <c r="ET114" s="13"/>
      <c r="EU114" s="14"/>
      <c r="EW114" s="65"/>
      <c r="EX114" s="13"/>
      <c r="EY114" s="14"/>
      <c r="FA114" s="65"/>
      <c r="FB114" s="13"/>
      <c r="FC114" s="14"/>
      <c r="FE114" s="65"/>
      <c r="FF114" s="13"/>
      <c r="FG114" s="14"/>
      <c r="FI114" s="65"/>
      <c r="FJ114" s="13"/>
      <c r="FK114" s="14"/>
      <c r="FM114" s="65"/>
      <c r="FN114" s="13"/>
      <c r="FO114" s="14"/>
      <c r="FQ114" s="65"/>
      <c r="FR114" s="13"/>
      <c r="FS114" s="14"/>
      <c r="FU114" s="65"/>
      <c r="FV114" s="13"/>
      <c r="FW114" s="14"/>
      <c r="FY114" s="65"/>
      <c r="FZ114" s="13"/>
      <c r="GA114" s="14"/>
      <c r="GC114" s="65"/>
      <c r="GD114" s="13"/>
      <c r="GE114" s="14"/>
      <c r="GG114" s="65"/>
      <c r="GH114" s="13"/>
      <c r="GI114" s="14"/>
      <c r="GK114" s="65"/>
      <c r="GL114" s="13"/>
      <c r="GM114" s="14"/>
      <c r="GO114" s="65"/>
      <c r="GP114" s="13"/>
      <c r="GQ114" s="14"/>
      <c r="GS114" s="65"/>
      <c r="GT114" s="13"/>
      <c r="GU114" s="14"/>
      <c r="GW114" s="65"/>
      <c r="GX114" s="13"/>
      <c r="GY114" s="14"/>
      <c r="HA114" s="65"/>
      <c r="HB114" s="13"/>
      <c r="HC114" s="14"/>
      <c r="HE114" s="65"/>
      <c r="HF114" s="13"/>
      <c r="HG114" s="14"/>
      <c r="HI114" s="65"/>
      <c r="HJ114" s="13"/>
      <c r="HK114" s="14"/>
      <c r="HM114" s="65"/>
      <c r="HN114" s="13"/>
      <c r="HO114" s="14"/>
      <c r="HQ114" s="65"/>
      <c r="HR114" s="13"/>
      <c r="HS114" s="14"/>
      <c r="HU114" s="65"/>
      <c r="HV114" s="13"/>
      <c r="HW114" s="14"/>
      <c r="HY114" s="65"/>
      <c r="HZ114" s="13"/>
      <c r="IA114" s="14"/>
      <c r="IC114" s="65"/>
      <c r="ID114" s="13"/>
      <c r="IE114" s="14"/>
      <c r="IG114" s="65"/>
      <c r="IH114" s="13"/>
      <c r="II114" s="14"/>
      <c r="IK114" s="65"/>
      <c r="IL114" s="13"/>
      <c r="IM114" s="14"/>
      <c r="IO114" s="65"/>
      <c r="IP114" s="13"/>
      <c r="IQ114" s="14"/>
      <c r="IS114" s="65"/>
      <c r="IT114" s="13"/>
      <c r="IU114" s="14"/>
      <c r="IW114" s="65"/>
      <c r="IX114" s="13"/>
      <c r="IY114" s="14"/>
      <c r="JA114" s="65"/>
      <c r="JB114" s="13"/>
      <c r="JC114" s="14"/>
      <c r="JE114" s="65"/>
      <c r="JF114" s="13"/>
      <c r="JG114" s="14"/>
      <c r="JI114" s="65"/>
      <c r="JJ114" s="13"/>
      <c r="JK114" s="14"/>
      <c r="JM114" s="65"/>
      <c r="JN114" s="13"/>
      <c r="JO114" s="14"/>
      <c r="JQ114" s="65"/>
      <c r="JR114" s="13"/>
      <c r="JS114" s="14"/>
      <c r="JU114" s="65"/>
      <c r="JV114" s="13"/>
      <c r="JW114" s="14"/>
      <c r="JY114" s="65"/>
      <c r="JZ114" s="13"/>
      <c r="KA114" s="14"/>
      <c r="KC114" s="65"/>
      <c r="KD114" s="13"/>
      <c r="KE114" s="14"/>
      <c r="KG114" s="65"/>
      <c r="KH114" s="13"/>
      <c r="KI114" s="14"/>
      <c r="KK114" s="65"/>
      <c r="KL114" s="13"/>
      <c r="KM114" s="14"/>
      <c r="KO114" s="65"/>
      <c r="KP114" s="13"/>
      <c r="KQ114" s="14"/>
      <c r="KS114" s="65"/>
      <c r="KT114" s="13"/>
      <c r="KU114" s="14"/>
      <c r="KW114" s="65"/>
      <c r="KX114" s="13"/>
      <c r="KY114" s="14"/>
      <c r="LA114" s="65"/>
      <c r="LB114" s="13"/>
      <c r="LC114" s="14"/>
      <c r="LE114" s="65"/>
      <c r="LF114" s="13"/>
      <c r="LG114" s="14"/>
      <c r="LI114" s="65"/>
      <c r="LJ114" s="13"/>
      <c r="LK114" s="14"/>
      <c r="LM114" s="65"/>
      <c r="LN114" s="13"/>
      <c r="LO114" s="14"/>
      <c r="LQ114" s="65"/>
      <c r="LR114" s="13"/>
      <c r="LS114" s="14"/>
      <c r="LU114" s="65"/>
      <c r="LV114" s="13"/>
      <c r="LW114" s="14"/>
      <c r="LY114" s="65"/>
      <c r="LZ114" s="13"/>
      <c r="MA114" s="14"/>
      <c r="MC114" s="65"/>
      <c r="MD114" s="13"/>
      <c r="ME114" s="14"/>
      <c r="MG114" s="65"/>
      <c r="MH114" s="13"/>
      <c r="MI114" s="14"/>
      <c r="MK114" s="65"/>
      <c r="ML114" s="13"/>
      <c r="MM114" s="14"/>
      <c r="MO114" s="65"/>
      <c r="MP114" s="13"/>
      <c r="MQ114" s="14"/>
      <c r="MS114" s="65"/>
      <c r="MT114" s="13"/>
      <c r="MU114" s="14"/>
    </row>
    <row r="115" spans="1:359" hidden="1" x14ac:dyDescent="0.25">
      <c r="A115" s="15">
        <f t="shared" si="171"/>
        <v>0</v>
      </c>
      <c r="B115" s="20">
        <v>42809</v>
      </c>
      <c r="D115" s="12">
        <v>61</v>
      </c>
      <c r="E115" s="12">
        <v>1142501.2369420233</v>
      </c>
      <c r="F115" s="14">
        <v>42539</v>
      </c>
      <c r="I115" s="12"/>
      <c r="J115" s="13"/>
      <c r="K115" s="14"/>
      <c r="N115" s="12"/>
      <c r="O115" s="13"/>
      <c r="P115" s="14"/>
      <c r="T115" s="15"/>
      <c r="U115" s="20"/>
      <c r="W115" s="12"/>
      <c r="X115" s="12"/>
      <c r="Y115" s="14"/>
      <c r="AB115" s="12"/>
      <c r="AC115" s="13"/>
      <c r="AD115" s="14"/>
      <c r="AG115" s="12"/>
      <c r="AH115" s="13"/>
      <c r="AI115" s="14"/>
      <c r="AK115" s="12"/>
      <c r="AL115" s="13"/>
      <c r="AM115" s="14"/>
      <c r="CK115" s="65"/>
      <c r="CL115" s="13"/>
      <c r="CO115" s="65"/>
      <c r="CP115" s="13"/>
      <c r="CS115" s="65"/>
      <c r="CT115" s="13"/>
      <c r="CW115" s="65"/>
      <c r="CX115" s="13"/>
      <c r="DA115" s="65"/>
      <c r="DB115" s="13"/>
      <c r="DE115" s="65"/>
      <c r="DF115" s="13"/>
      <c r="DI115" s="65"/>
      <c r="DJ115" s="13"/>
      <c r="DM115" s="65"/>
      <c r="DN115" s="13"/>
      <c r="DQ115" s="65"/>
      <c r="DR115" s="13"/>
      <c r="DU115" s="65"/>
      <c r="DV115" s="13"/>
      <c r="DY115" s="65"/>
      <c r="DZ115" s="13"/>
      <c r="EA115" s="14"/>
      <c r="EC115" s="65"/>
      <c r="ED115" s="13"/>
      <c r="EE115" s="14"/>
      <c r="EG115" s="65"/>
      <c r="EH115" s="13"/>
      <c r="EI115" s="14"/>
      <c r="EK115" s="65"/>
      <c r="EL115" s="13"/>
      <c r="EM115" s="14"/>
      <c r="EO115" s="65"/>
      <c r="EP115" s="13"/>
      <c r="EQ115" s="14"/>
      <c r="ES115" s="65"/>
      <c r="ET115" s="13"/>
      <c r="EU115" s="14"/>
      <c r="EW115" s="65"/>
      <c r="EX115" s="13"/>
      <c r="EY115" s="14"/>
      <c r="FA115" s="65"/>
      <c r="FB115" s="13"/>
      <c r="FC115" s="14"/>
      <c r="FE115" s="65"/>
      <c r="FF115" s="13"/>
      <c r="FG115" s="14"/>
      <c r="FI115" s="65"/>
      <c r="FJ115" s="13"/>
      <c r="FK115" s="14"/>
      <c r="FM115" s="65"/>
      <c r="FN115" s="13"/>
      <c r="FO115" s="14"/>
      <c r="FQ115" s="65"/>
      <c r="FR115" s="13"/>
      <c r="FS115" s="14"/>
      <c r="FU115" s="65"/>
      <c r="FV115" s="13"/>
      <c r="FW115" s="14"/>
      <c r="FY115" s="65"/>
      <c r="FZ115" s="13"/>
      <c r="GA115" s="14"/>
      <c r="GC115" s="65"/>
      <c r="GD115" s="13"/>
      <c r="GE115" s="14"/>
      <c r="GG115" s="65"/>
      <c r="GH115" s="13"/>
      <c r="GI115" s="14"/>
      <c r="GK115" s="65"/>
      <c r="GL115" s="13"/>
      <c r="GM115" s="14"/>
      <c r="GO115" s="65"/>
      <c r="GP115" s="13"/>
      <c r="GQ115" s="14"/>
      <c r="GS115" s="65"/>
      <c r="GT115" s="13"/>
      <c r="GU115" s="14"/>
      <c r="GW115" s="65"/>
      <c r="GX115" s="13"/>
      <c r="GY115" s="14"/>
      <c r="HA115" s="65"/>
      <c r="HB115" s="13"/>
      <c r="HC115" s="14"/>
      <c r="HE115" s="65"/>
      <c r="HF115" s="13"/>
      <c r="HG115" s="14"/>
      <c r="HI115" s="65"/>
      <c r="HJ115" s="13"/>
      <c r="HK115" s="14"/>
      <c r="HM115" s="65"/>
      <c r="HN115" s="13"/>
      <c r="HO115" s="14"/>
      <c r="HQ115" s="65"/>
      <c r="HR115" s="13"/>
      <c r="HS115" s="14"/>
      <c r="HU115" s="65"/>
      <c r="HV115" s="13"/>
      <c r="HW115" s="14"/>
      <c r="HY115" s="65"/>
      <c r="HZ115" s="13"/>
      <c r="IA115" s="14"/>
      <c r="IC115" s="65"/>
      <c r="ID115" s="13"/>
      <c r="IE115" s="14"/>
      <c r="IG115" s="65"/>
      <c r="IH115" s="13"/>
      <c r="II115" s="14"/>
      <c r="IK115" s="65"/>
      <c r="IL115" s="13"/>
      <c r="IM115" s="14"/>
      <c r="IO115" s="65"/>
      <c r="IP115" s="13"/>
      <c r="IQ115" s="14"/>
      <c r="IS115" s="65"/>
      <c r="IT115" s="13"/>
      <c r="IU115" s="14"/>
      <c r="IW115" s="65"/>
      <c r="IX115" s="13"/>
      <c r="IY115" s="14"/>
      <c r="JA115" s="65"/>
      <c r="JB115" s="13"/>
      <c r="JC115" s="14"/>
      <c r="JE115" s="65"/>
      <c r="JF115" s="13"/>
      <c r="JG115" s="14"/>
      <c r="JI115" s="65"/>
      <c r="JJ115" s="13"/>
      <c r="JK115" s="14"/>
      <c r="JM115" s="65"/>
      <c r="JN115" s="13"/>
      <c r="JO115" s="14"/>
      <c r="JQ115" s="65"/>
      <c r="JR115" s="13"/>
      <c r="JS115" s="14"/>
      <c r="JU115" s="65"/>
      <c r="JV115" s="13"/>
      <c r="JW115" s="14"/>
      <c r="JY115" s="65"/>
      <c r="JZ115" s="13"/>
      <c r="KA115" s="14"/>
      <c r="KC115" s="65"/>
      <c r="KD115" s="13"/>
      <c r="KE115" s="14"/>
      <c r="KG115" s="65"/>
      <c r="KH115" s="13"/>
      <c r="KI115" s="14"/>
      <c r="KK115" s="65"/>
      <c r="KL115" s="13"/>
      <c r="KM115" s="14"/>
      <c r="KO115" s="65"/>
      <c r="KP115" s="13"/>
      <c r="KQ115" s="14"/>
      <c r="KS115" s="65"/>
      <c r="KT115" s="13"/>
      <c r="KU115" s="14"/>
      <c r="KW115" s="65"/>
      <c r="KX115" s="13"/>
      <c r="KY115" s="14"/>
      <c r="LA115" s="65"/>
      <c r="LB115" s="13"/>
      <c r="LC115" s="14"/>
      <c r="LE115" s="65"/>
      <c r="LF115" s="13"/>
      <c r="LG115" s="14"/>
      <c r="LI115" s="65"/>
      <c r="LJ115" s="13"/>
      <c r="LK115" s="14"/>
      <c r="LM115" s="65"/>
      <c r="LN115" s="13"/>
      <c r="LO115" s="14"/>
      <c r="LQ115" s="65"/>
      <c r="LR115" s="13"/>
      <c r="LS115" s="14"/>
      <c r="LU115" s="65"/>
      <c r="LV115" s="13"/>
      <c r="LW115" s="14"/>
      <c r="LY115" s="65"/>
      <c r="LZ115" s="13"/>
      <c r="MA115" s="14"/>
      <c r="MC115" s="65"/>
      <c r="MD115" s="13"/>
      <c r="ME115" s="14"/>
      <c r="MG115" s="65"/>
      <c r="MH115" s="13"/>
      <c r="MI115" s="14"/>
      <c r="MK115" s="65"/>
      <c r="ML115" s="13"/>
      <c r="MM115" s="14"/>
      <c r="MO115" s="65"/>
      <c r="MP115" s="13"/>
      <c r="MQ115" s="14"/>
      <c r="MS115" s="65"/>
      <c r="MT115" s="13"/>
      <c r="MU115" s="14"/>
    </row>
    <row r="116" spans="1:359" hidden="1" x14ac:dyDescent="0.25">
      <c r="A116" s="15">
        <f t="shared" si="171"/>
        <v>0</v>
      </c>
      <c r="B116" s="20">
        <v>42810</v>
      </c>
      <c r="D116" s="12">
        <v>60</v>
      </c>
      <c r="E116" s="12">
        <v>1142528.468811251</v>
      </c>
      <c r="F116" s="14">
        <v>42540</v>
      </c>
      <c r="I116" s="12"/>
      <c r="J116" s="13"/>
      <c r="K116" s="14"/>
      <c r="N116" s="12"/>
      <c r="O116" s="13"/>
      <c r="P116" s="14"/>
      <c r="T116" s="15"/>
      <c r="U116" s="20"/>
      <c r="W116" s="12"/>
      <c r="X116" s="12"/>
      <c r="Y116" s="14"/>
      <c r="AB116" s="12"/>
      <c r="AC116" s="13"/>
      <c r="AD116" s="14"/>
      <c r="AG116" s="12"/>
      <c r="AH116" s="13"/>
      <c r="AI116" s="14"/>
      <c r="AK116" s="12"/>
      <c r="AL116" s="13"/>
      <c r="AM116" s="14"/>
      <c r="CK116" s="65"/>
      <c r="CL116" s="13"/>
      <c r="CO116" s="65"/>
      <c r="CP116" s="13"/>
      <c r="CS116" s="65"/>
      <c r="CT116" s="13"/>
      <c r="CW116" s="65"/>
      <c r="CX116" s="13"/>
      <c r="DA116" s="65"/>
      <c r="DB116" s="13"/>
      <c r="DE116" s="65"/>
      <c r="DF116" s="13"/>
      <c r="DI116" s="65"/>
      <c r="DJ116" s="13"/>
      <c r="DM116" s="65"/>
      <c r="DN116" s="13"/>
      <c r="DQ116" s="65"/>
      <c r="DR116" s="13"/>
      <c r="DU116" s="65"/>
      <c r="DV116" s="13"/>
      <c r="DY116" s="65"/>
      <c r="DZ116" s="13"/>
      <c r="EA116" s="14"/>
      <c r="EC116" s="65"/>
      <c r="ED116" s="13"/>
      <c r="EE116" s="14"/>
      <c r="EG116" s="65"/>
      <c r="EH116" s="13"/>
      <c r="EI116" s="14"/>
      <c r="EK116" s="65"/>
      <c r="EL116" s="13"/>
      <c r="EM116" s="14"/>
      <c r="EO116" s="65"/>
      <c r="EP116" s="13"/>
      <c r="EQ116" s="14"/>
      <c r="ES116" s="65"/>
      <c r="ET116" s="13"/>
      <c r="EU116" s="14"/>
      <c r="EW116" s="65"/>
      <c r="EX116" s="13"/>
      <c r="EY116" s="14"/>
      <c r="FA116" s="65"/>
      <c r="FB116" s="13"/>
      <c r="FC116" s="14"/>
      <c r="FE116" s="65"/>
      <c r="FF116" s="13"/>
      <c r="FG116" s="14"/>
      <c r="FI116" s="65"/>
      <c r="FJ116" s="13"/>
      <c r="FK116" s="14"/>
      <c r="FM116" s="65"/>
      <c r="FN116" s="13"/>
      <c r="FO116" s="14"/>
      <c r="FQ116" s="65"/>
      <c r="FR116" s="13"/>
      <c r="FS116" s="14"/>
      <c r="FU116" s="65"/>
      <c r="FV116" s="13"/>
      <c r="FW116" s="14"/>
      <c r="FY116" s="65"/>
      <c r="FZ116" s="13"/>
      <c r="GA116" s="14"/>
      <c r="GC116" s="65"/>
      <c r="GD116" s="13"/>
      <c r="GE116" s="14"/>
      <c r="GG116" s="65"/>
      <c r="GH116" s="13"/>
      <c r="GI116" s="14"/>
      <c r="GK116" s="65"/>
      <c r="GL116" s="13"/>
      <c r="GM116" s="14"/>
      <c r="GO116" s="65"/>
      <c r="GP116" s="13"/>
      <c r="GQ116" s="14"/>
      <c r="GS116" s="65"/>
      <c r="GT116" s="13"/>
      <c r="GU116" s="14"/>
      <c r="GW116" s="65"/>
      <c r="GX116" s="13"/>
      <c r="GY116" s="14"/>
      <c r="HA116" s="65"/>
      <c r="HB116" s="13"/>
      <c r="HC116" s="14"/>
      <c r="HE116" s="65"/>
      <c r="HF116" s="13"/>
      <c r="HG116" s="14"/>
      <c r="HI116" s="65"/>
      <c r="HJ116" s="13"/>
      <c r="HK116" s="14"/>
      <c r="HM116" s="65"/>
      <c r="HN116" s="13"/>
      <c r="HO116" s="14"/>
      <c r="HQ116" s="65"/>
      <c r="HR116" s="13"/>
      <c r="HS116" s="14"/>
      <c r="HU116" s="65"/>
      <c r="HV116" s="13"/>
      <c r="HW116" s="14"/>
      <c r="HY116" s="65"/>
      <c r="HZ116" s="13"/>
      <c r="IA116" s="14"/>
      <c r="IC116" s="65"/>
      <c r="ID116" s="13"/>
      <c r="IE116" s="14"/>
      <c r="IG116" s="65"/>
      <c r="IH116" s="13"/>
      <c r="II116" s="14"/>
      <c r="IK116" s="65"/>
      <c r="IL116" s="13"/>
      <c r="IM116" s="14"/>
      <c r="IO116" s="65"/>
      <c r="IP116" s="13"/>
      <c r="IQ116" s="14"/>
      <c r="IS116" s="65"/>
      <c r="IT116" s="13"/>
      <c r="IU116" s="14"/>
      <c r="IW116" s="65"/>
      <c r="IX116" s="13"/>
      <c r="IY116" s="14"/>
      <c r="JA116" s="65"/>
      <c r="JB116" s="13"/>
      <c r="JC116" s="14"/>
      <c r="JE116" s="65"/>
      <c r="JF116" s="13"/>
      <c r="JG116" s="14"/>
      <c r="JI116" s="65"/>
      <c r="JJ116" s="13"/>
      <c r="JK116" s="14"/>
      <c r="JM116" s="65"/>
      <c r="JN116" s="13"/>
      <c r="JO116" s="14"/>
      <c r="JQ116" s="65"/>
      <c r="JR116" s="13"/>
      <c r="JS116" s="14"/>
      <c r="JU116" s="65"/>
      <c r="JV116" s="13"/>
      <c r="JW116" s="14"/>
      <c r="JY116" s="65"/>
      <c r="JZ116" s="13"/>
      <c r="KA116" s="14"/>
      <c r="KC116" s="65"/>
      <c r="KD116" s="13"/>
      <c r="KE116" s="14"/>
      <c r="KG116" s="65"/>
      <c r="KH116" s="13"/>
      <c r="KI116" s="14"/>
      <c r="KK116" s="65"/>
      <c r="KL116" s="13"/>
      <c r="KM116" s="14"/>
      <c r="KO116" s="65"/>
      <c r="KP116" s="13"/>
      <c r="KQ116" s="14"/>
      <c r="KS116" s="65"/>
      <c r="KT116" s="13"/>
      <c r="KU116" s="14"/>
      <c r="KW116" s="65"/>
      <c r="KX116" s="13"/>
      <c r="KY116" s="14"/>
      <c r="LA116" s="65"/>
      <c r="LB116" s="13"/>
      <c r="LC116" s="14"/>
      <c r="LE116" s="65"/>
      <c r="LF116" s="13"/>
      <c r="LG116" s="14"/>
      <c r="LI116" s="65"/>
      <c r="LJ116" s="13"/>
      <c r="LK116" s="14"/>
      <c r="LM116" s="65"/>
      <c r="LN116" s="13"/>
      <c r="LO116" s="14"/>
      <c r="LQ116" s="65"/>
      <c r="LR116" s="13"/>
      <c r="LS116" s="14"/>
      <c r="LU116" s="65"/>
      <c r="LV116" s="13"/>
      <c r="LW116" s="14"/>
      <c r="LY116" s="65"/>
      <c r="LZ116" s="13"/>
      <c r="MA116" s="14"/>
      <c r="MC116" s="65"/>
      <c r="MD116" s="13"/>
      <c r="ME116" s="14"/>
      <c r="MG116" s="65"/>
      <c r="MH116" s="13"/>
      <c r="MI116" s="14"/>
      <c r="MK116" s="65"/>
      <c r="ML116" s="13"/>
      <c r="MM116" s="14"/>
      <c r="MO116" s="65"/>
      <c r="MP116" s="13"/>
      <c r="MQ116" s="14"/>
      <c r="MS116" s="65"/>
      <c r="MT116" s="13"/>
      <c r="MU116" s="14"/>
    </row>
    <row r="117" spans="1:359" hidden="1" x14ac:dyDescent="0.25">
      <c r="A117" s="15">
        <f t="shared" si="171"/>
        <v>0</v>
      </c>
      <c r="B117" s="20">
        <v>42811</v>
      </c>
      <c r="D117" s="12">
        <v>59</v>
      </c>
      <c r="E117" s="12">
        <v>1142555.7019786693</v>
      </c>
      <c r="F117" s="14">
        <v>42541</v>
      </c>
      <c r="I117" s="12"/>
      <c r="J117" s="13"/>
      <c r="K117" s="14"/>
      <c r="N117" s="12"/>
      <c r="O117" s="13"/>
      <c r="P117" s="14"/>
      <c r="T117" s="15"/>
      <c r="U117" s="20"/>
      <c r="W117" s="12"/>
      <c r="X117" s="12"/>
      <c r="Y117" s="14"/>
      <c r="AB117" s="12"/>
      <c r="AC117" s="13"/>
      <c r="AD117" s="14"/>
      <c r="AG117" s="12"/>
      <c r="AH117" s="13"/>
      <c r="AI117" s="14"/>
      <c r="AK117" s="12"/>
      <c r="AL117" s="13"/>
      <c r="AM117" s="14"/>
      <c r="CK117" s="65"/>
      <c r="CL117" s="13"/>
      <c r="CO117" s="65"/>
      <c r="CP117" s="13"/>
      <c r="CS117" s="65"/>
      <c r="CT117" s="13"/>
      <c r="CW117" s="65"/>
      <c r="CX117" s="13"/>
      <c r="DA117" s="65"/>
      <c r="DB117" s="13"/>
      <c r="DE117" s="65"/>
      <c r="DF117" s="13"/>
      <c r="DI117" s="65"/>
      <c r="DJ117" s="13"/>
      <c r="DM117" s="65"/>
      <c r="DN117" s="13"/>
      <c r="DQ117" s="65"/>
      <c r="DR117" s="13"/>
      <c r="DU117" s="65"/>
      <c r="DV117" s="13"/>
      <c r="DY117" s="65"/>
      <c r="DZ117" s="13"/>
      <c r="EA117" s="14"/>
      <c r="EC117" s="65"/>
      <c r="ED117" s="13"/>
      <c r="EE117" s="14"/>
      <c r="EG117" s="65"/>
      <c r="EH117" s="13"/>
      <c r="EI117" s="14"/>
      <c r="EK117" s="65"/>
      <c r="EL117" s="13"/>
      <c r="EM117" s="14"/>
      <c r="EO117" s="65"/>
      <c r="EP117" s="13"/>
      <c r="EQ117" s="14"/>
      <c r="ES117" s="65"/>
      <c r="ET117" s="13"/>
      <c r="EU117" s="14"/>
      <c r="EW117" s="65"/>
      <c r="EX117" s="13"/>
      <c r="EY117" s="14"/>
      <c r="FA117" s="65"/>
      <c r="FB117" s="13"/>
      <c r="FC117" s="14"/>
      <c r="FE117" s="65"/>
      <c r="FF117" s="13"/>
      <c r="FG117" s="14"/>
      <c r="FI117" s="65"/>
      <c r="FJ117" s="13"/>
      <c r="FK117" s="14"/>
      <c r="FM117" s="65"/>
      <c r="FN117" s="13"/>
      <c r="FO117" s="14"/>
      <c r="FQ117" s="65"/>
      <c r="FR117" s="13"/>
      <c r="FS117" s="14"/>
      <c r="FU117" s="65"/>
      <c r="FV117" s="13"/>
      <c r="FW117" s="14"/>
      <c r="FY117" s="65"/>
      <c r="FZ117" s="13"/>
      <c r="GA117" s="14"/>
      <c r="GC117" s="65"/>
      <c r="GD117" s="13"/>
      <c r="GE117" s="14"/>
      <c r="GG117" s="65"/>
      <c r="GH117" s="13"/>
      <c r="GI117" s="14"/>
      <c r="GK117" s="65"/>
      <c r="GL117" s="13"/>
      <c r="GM117" s="14"/>
      <c r="GO117" s="65"/>
      <c r="GP117" s="13"/>
      <c r="GQ117" s="14"/>
      <c r="GS117" s="65"/>
      <c r="GT117" s="13"/>
      <c r="GU117" s="14"/>
      <c r="GW117" s="65"/>
      <c r="GX117" s="13"/>
      <c r="GY117" s="14"/>
      <c r="HA117" s="65"/>
      <c r="HB117" s="13"/>
      <c r="HC117" s="14"/>
      <c r="HE117" s="65"/>
      <c r="HF117" s="13"/>
      <c r="HG117" s="14"/>
      <c r="HI117" s="65"/>
      <c r="HJ117" s="13"/>
      <c r="HK117" s="14"/>
      <c r="HM117" s="65"/>
      <c r="HN117" s="13"/>
      <c r="HO117" s="14"/>
      <c r="HQ117" s="65"/>
      <c r="HR117" s="13"/>
      <c r="HS117" s="14"/>
      <c r="HU117" s="65"/>
      <c r="HV117" s="13"/>
      <c r="HW117" s="14"/>
      <c r="HY117" s="65"/>
      <c r="HZ117" s="13"/>
      <c r="IA117" s="14"/>
      <c r="IC117" s="65"/>
      <c r="ID117" s="13"/>
      <c r="IE117" s="14"/>
      <c r="IG117" s="65"/>
      <c r="IH117" s="13"/>
      <c r="II117" s="14"/>
      <c r="IK117" s="65"/>
      <c r="IL117" s="13"/>
      <c r="IM117" s="14"/>
      <c r="IO117" s="65"/>
      <c r="IP117" s="13"/>
      <c r="IQ117" s="14"/>
      <c r="IS117" s="65"/>
      <c r="IT117" s="13"/>
      <c r="IU117" s="14"/>
      <c r="IW117" s="65"/>
      <c r="IX117" s="13"/>
      <c r="IY117" s="14"/>
      <c r="JA117" s="65"/>
      <c r="JB117" s="13"/>
      <c r="JC117" s="14"/>
      <c r="JE117" s="65"/>
      <c r="JF117" s="13"/>
      <c r="JG117" s="14"/>
      <c r="JI117" s="65"/>
      <c r="JJ117" s="13"/>
      <c r="JK117" s="14"/>
      <c r="JM117" s="65"/>
      <c r="JN117" s="13"/>
      <c r="JO117" s="14"/>
      <c r="JQ117" s="65"/>
      <c r="JR117" s="13"/>
      <c r="JS117" s="14"/>
      <c r="JU117" s="65"/>
      <c r="JV117" s="13"/>
      <c r="JW117" s="14"/>
      <c r="JY117" s="65"/>
      <c r="JZ117" s="13"/>
      <c r="KA117" s="14"/>
      <c r="KC117" s="65"/>
      <c r="KD117" s="13"/>
      <c r="KE117" s="14"/>
      <c r="KG117" s="65"/>
      <c r="KH117" s="13"/>
      <c r="KI117" s="14"/>
      <c r="KK117" s="65"/>
      <c r="KL117" s="13"/>
      <c r="KM117" s="14"/>
      <c r="KO117" s="65"/>
      <c r="KP117" s="13"/>
      <c r="KQ117" s="14"/>
      <c r="KS117" s="65"/>
      <c r="KT117" s="13"/>
      <c r="KU117" s="14"/>
      <c r="KW117" s="65"/>
      <c r="KX117" s="13"/>
      <c r="KY117" s="14"/>
      <c r="LA117" s="65"/>
      <c r="LB117" s="13"/>
      <c r="LC117" s="14"/>
      <c r="LE117" s="65"/>
      <c r="LF117" s="13"/>
      <c r="LG117" s="14"/>
      <c r="LI117" s="65"/>
      <c r="LJ117" s="13"/>
      <c r="LK117" s="14"/>
      <c r="LM117" s="65"/>
      <c r="LN117" s="13"/>
      <c r="LO117" s="14"/>
      <c r="LQ117" s="65"/>
      <c r="LR117" s="13"/>
      <c r="LS117" s="14"/>
      <c r="LU117" s="65"/>
      <c r="LV117" s="13"/>
      <c r="LW117" s="14"/>
      <c r="LY117" s="65"/>
      <c r="LZ117" s="13"/>
      <c r="MA117" s="14"/>
      <c r="MC117" s="65"/>
      <c r="MD117" s="13"/>
      <c r="ME117" s="14"/>
      <c r="MG117" s="65"/>
      <c r="MH117" s="13"/>
      <c r="MI117" s="14"/>
      <c r="MK117" s="65"/>
      <c r="ML117" s="13"/>
      <c r="MM117" s="14"/>
      <c r="MO117" s="65"/>
      <c r="MP117" s="13"/>
      <c r="MQ117" s="14"/>
      <c r="MS117" s="65"/>
      <c r="MT117" s="13"/>
      <c r="MU117" s="14"/>
    </row>
    <row r="118" spans="1:359" hidden="1" x14ac:dyDescent="0.25">
      <c r="A118" s="15">
        <f t="shared" si="171"/>
        <v>0</v>
      </c>
      <c r="B118" s="20">
        <v>42812</v>
      </c>
      <c r="D118" s="12">
        <v>58</v>
      </c>
      <c r="E118" s="12">
        <v>1142582.9364443717</v>
      </c>
      <c r="F118" s="14">
        <v>42542</v>
      </c>
      <c r="I118" s="12"/>
      <c r="J118" s="13"/>
      <c r="K118" s="14"/>
      <c r="N118" s="12"/>
      <c r="O118" s="13"/>
      <c r="P118" s="14"/>
      <c r="T118" s="15"/>
      <c r="U118" s="20"/>
      <c r="W118" s="12"/>
      <c r="X118" s="12"/>
      <c r="Y118" s="14"/>
      <c r="AB118" s="12"/>
      <c r="AC118" s="13"/>
      <c r="AD118" s="14"/>
      <c r="AG118" s="12"/>
      <c r="AH118" s="13"/>
      <c r="AI118" s="14"/>
      <c r="AK118" s="12"/>
      <c r="AL118" s="13"/>
      <c r="AM118" s="14"/>
      <c r="CK118" s="65"/>
      <c r="CL118" s="13"/>
      <c r="CO118" s="65"/>
      <c r="CP118" s="13"/>
      <c r="CS118" s="65"/>
      <c r="CT118" s="13"/>
      <c r="CW118" s="65"/>
      <c r="CX118" s="13"/>
      <c r="DA118" s="65"/>
      <c r="DB118" s="13"/>
      <c r="DE118" s="65"/>
      <c r="DF118" s="13"/>
      <c r="DI118" s="65"/>
      <c r="DJ118" s="13"/>
      <c r="DM118" s="65"/>
      <c r="DN118" s="13"/>
      <c r="DQ118" s="65"/>
      <c r="DR118" s="13"/>
      <c r="DU118" s="65"/>
      <c r="DV118" s="13"/>
      <c r="DY118" s="65"/>
      <c r="DZ118" s="13"/>
      <c r="EA118" s="14"/>
      <c r="EC118" s="65"/>
      <c r="ED118" s="13"/>
      <c r="EE118" s="14"/>
      <c r="EG118" s="65"/>
      <c r="EH118" s="13"/>
      <c r="EI118" s="14"/>
      <c r="EK118" s="65"/>
      <c r="EL118" s="13"/>
      <c r="EM118" s="14"/>
      <c r="EO118" s="65"/>
      <c r="EP118" s="13"/>
      <c r="EQ118" s="14"/>
      <c r="ES118" s="65"/>
      <c r="ET118" s="13"/>
      <c r="EU118" s="14"/>
      <c r="EW118" s="65"/>
      <c r="EX118" s="13"/>
      <c r="EY118" s="14"/>
      <c r="FA118" s="65"/>
      <c r="FB118" s="13"/>
      <c r="FC118" s="14"/>
      <c r="FE118" s="65"/>
      <c r="FF118" s="13"/>
      <c r="FG118" s="14"/>
      <c r="FI118" s="65"/>
      <c r="FJ118" s="13"/>
      <c r="FK118" s="14"/>
      <c r="FM118" s="65"/>
      <c r="FN118" s="13"/>
      <c r="FO118" s="14"/>
      <c r="FQ118" s="65"/>
      <c r="FR118" s="13"/>
      <c r="FS118" s="14"/>
      <c r="FU118" s="65"/>
      <c r="FV118" s="13"/>
      <c r="FW118" s="14"/>
      <c r="FY118" s="65"/>
      <c r="FZ118" s="13"/>
      <c r="GA118" s="14"/>
      <c r="GC118" s="65"/>
      <c r="GD118" s="13"/>
      <c r="GE118" s="14"/>
      <c r="GG118" s="65"/>
      <c r="GH118" s="13"/>
      <c r="GI118" s="14"/>
      <c r="GK118" s="65"/>
      <c r="GL118" s="13"/>
      <c r="GM118" s="14"/>
      <c r="GO118" s="65"/>
      <c r="GP118" s="13"/>
      <c r="GQ118" s="14"/>
      <c r="GS118" s="65"/>
      <c r="GT118" s="13"/>
      <c r="GU118" s="14"/>
      <c r="GW118" s="65"/>
      <c r="GX118" s="13"/>
      <c r="GY118" s="14"/>
      <c r="HA118" s="65"/>
      <c r="HB118" s="13"/>
      <c r="HC118" s="14"/>
      <c r="HE118" s="65"/>
      <c r="HF118" s="13"/>
      <c r="HG118" s="14"/>
      <c r="HI118" s="65"/>
      <c r="HJ118" s="13"/>
      <c r="HK118" s="14"/>
      <c r="HM118" s="65"/>
      <c r="HN118" s="13"/>
      <c r="HO118" s="14"/>
      <c r="HQ118" s="65"/>
      <c r="HR118" s="13"/>
      <c r="HS118" s="14"/>
      <c r="HU118" s="65"/>
      <c r="HV118" s="13"/>
      <c r="HW118" s="14"/>
      <c r="HY118" s="65"/>
      <c r="HZ118" s="13"/>
      <c r="IA118" s="14"/>
      <c r="IC118" s="65"/>
      <c r="ID118" s="13"/>
      <c r="IE118" s="14"/>
      <c r="IG118" s="65"/>
      <c r="IH118" s="13"/>
      <c r="II118" s="14"/>
      <c r="IK118" s="65"/>
      <c r="IL118" s="13"/>
      <c r="IM118" s="14"/>
      <c r="IO118" s="65"/>
      <c r="IP118" s="13"/>
      <c r="IQ118" s="14"/>
      <c r="IS118" s="65"/>
      <c r="IT118" s="13"/>
      <c r="IU118" s="14"/>
      <c r="IW118" s="65"/>
      <c r="IX118" s="13"/>
      <c r="IY118" s="14"/>
      <c r="JA118" s="65"/>
      <c r="JB118" s="13"/>
      <c r="JC118" s="14"/>
      <c r="JE118" s="65"/>
      <c r="JF118" s="13"/>
      <c r="JG118" s="14"/>
      <c r="JI118" s="65"/>
      <c r="JJ118" s="13"/>
      <c r="JK118" s="14"/>
      <c r="JM118" s="65"/>
      <c r="JN118" s="13"/>
      <c r="JO118" s="14"/>
      <c r="JQ118" s="65"/>
      <c r="JR118" s="13"/>
      <c r="JS118" s="14"/>
      <c r="JU118" s="65"/>
      <c r="JV118" s="13"/>
      <c r="JW118" s="14"/>
      <c r="JY118" s="65"/>
      <c r="JZ118" s="13"/>
      <c r="KA118" s="14"/>
      <c r="KC118" s="65"/>
      <c r="KD118" s="13"/>
      <c r="KE118" s="14"/>
      <c r="KG118" s="65"/>
      <c r="KH118" s="13"/>
      <c r="KI118" s="14"/>
      <c r="KK118" s="65"/>
      <c r="KL118" s="13"/>
      <c r="KM118" s="14"/>
      <c r="KO118" s="65"/>
      <c r="KP118" s="13"/>
      <c r="KQ118" s="14"/>
      <c r="KS118" s="65"/>
      <c r="KT118" s="13"/>
      <c r="KU118" s="14"/>
      <c r="KW118" s="65"/>
      <c r="KX118" s="13"/>
      <c r="KY118" s="14"/>
      <c r="LA118" s="65"/>
      <c r="LB118" s="13"/>
      <c r="LC118" s="14"/>
      <c r="LE118" s="65"/>
      <c r="LF118" s="13"/>
      <c r="LG118" s="14"/>
      <c r="LI118" s="65"/>
      <c r="LJ118" s="13"/>
      <c r="LK118" s="14"/>
      <c r="LM118" s="65"/>
      <c r="LN118" s="13"/>
      <c r="LO118" s="14"/>
      <c r="LQ118" s="65"/>
      <c r="LR118" s="13"/>
      <c r="LS118" s="14"/>
      <c r="LU118" s="65"/>
      <c r="LV118" s="13"/>
      <c r="LW118" s="14"/>
      <c r="LY118" s="65"/>
      <c r="LZ118" s="13"/>
      <c r="MA118" s="14"/>
      <c r="MC118" s="65"/>
      <c r="MD118" s="13"/>
      <c r="ME118" s="14"/>
      <c r="MG118" s="65"/>
      <c r="MH118" s="13"/>
      <c r="MI118" s="14"/>
      <c r="MK118" s="65"/>
      <c r="ML118" s="13"/>
      <c r="MM118" s="14"/>
      <c r="MO118" s="65"/>
      <c r="MP118" s="13"/>
      <c r="MQ118" s="14"/>
      <c r="MS118" s="65"/>
      <c r="MT118" s="13"/>
      <c r="MU118" s="14"/>
    </row>
    <row r="119" spans="1:359" hidden="1" x14ac:dyDescent="0.25">
      <c r="A119" s="15">
        <f t="shared" si="171"/>
        <v>0</v>
      </c>
      <c r="B119" s="20">
        <v>42813</v>
      </c>
      <c r="D119" s="12">
        <v>57</v>
      </c>
      <c r="E119" s="12">
        <v>1142610.1722084503</v>
      </c>
      <c r="F119" s="14">
        <v>42543</v>
      </c>
      <c r="I119" s="12"/>
      <c r="J119" s="13"/>
      <c r="K119" s="14"/>
      <c r="N119" s="12"/>
      <c r="O119" s="13"/>
      <c r="P119" s="14"/>
      <c r="T119" s="15"/>
      <c r="U119" s="20"/>
      <c r="W119" s="12"/>
      <c r="X119" s="12"/>
      <c r="Y119" s="14"/>
      <c r="AB119" s="12"/>
      <c r="AC119" s="13"/>
      <c r="AD119" s="14"/>
      <c r="AG119" s="12"/>
      <c r="AH119" s="13"/>
      <c r="AI119" s="14"/>
      <c r="AK119" s="12"/>
      <c r="AL119" s="13"/>
      <c r="AM119" s="14"/>
      <c r="CK119" s="65"/>
      <c r="CL119" s="13"/>
      <c r="CO119" s="65"/>
      <c r="CP119" s="13"/>
      <c r="CS119" s="65"/>
      <c r="CT119" s="13"/>
      <c r="CW119" s="65"/>
      <c r="CX119" s="13"/>
      <c r="DA119" s="65"/>
      <c r="DB119" s="13"/>
      <c r="DE119" s="65"/>
      <c r="DF119" s="13"/>
      <c r="DI119" s="65"/>
      <c r="DJ119" s="13"/>
      <c r="DM119" s="65"/>
      <c r="DN119" s="13"/>
      <c r="DQ119" s="65"/>
      <c r="DR119" s="13"/>
      <c r="DU119" s="65"/>
      <c r="DV119" s="13"/>
      <c r="DY119" s="65"/>
      <c r="DZ119" s="13"/>
      <c r="EA119" s="14"/>
      <c r="EC119" s="65"/>
      <c r="ED119" s="13"/>
      <c r="EE119" s="14"/>
      <c r="EG119" s="65"/>
      <c r="EH119" s="13"/>
      <c r="EI119" s="14"/>
      <c r="EK119" s="65"/>
      <c r="EL119" s="13"/>
      <c r="EM119" s="14"/>
      <c r="EO119" s="65"/>
      <c r="EP119" s="13"/>
      <c r="EQ119" s="14"/>
      <c r="ES119" s="65"/>
      <c r="ET119" s="13"/>
      <c r="EU119" s="14"/>
      <c r="EW119" s="65"/>
      <c r="EX119" s="13"/>
      <c r="EY119" s="14"/>
      <c r="FA119" s="65"/>
      <c r="FB119" s="13"/>
      <c r="FC119" s="14"/>
      <c r="FE119" s="65"/>
      <c r="FF119" s="13"/>
      <c r="FG119" s="14"/>
      <c r="FI119" s="65"/>
      <c r="FJ119" s="13"/>
      <c r="FK119" s="14"/>
      <c r="FM119" s="65"/>
      <c r="FN119" s="13"/>
      <c r="FO119" s="14"/>
      <c r="FQ119" s="65"/>
      <c r="FR119" s="13"/>
      <c r="FS119" s="14"/>
      <c r="FU119" s="65"/>
      <c r="FV119" s="13"/>
      <c r="FW119" s="14"/>
      <c r="FY119" s="65"/>
      <c r="FZ119" s="13"/>
      <c r="GA119" s="14"/>
      <c r="GC119" s="65"/>
      <c r="GD119" s="13"/>
      <c r="GE119" s="14"/>
      <c r="GG119" s="65"/>
      <c r="GH119" s="13"/>
      <c r="GI119" s="14"/>
      <c r="GK119" s="65"/>
      <c r="GL119" s="13"/>
      <c r="GM119" s="14"/>
      <c r="GO119" s="65"/>
      <c r="GP119" s="13"/>
      <c r="GQ119" s="14"/>
      <c r="GS119" s="65"/>
      <c r="GT119" s="13"/>
      <c r="GU119" s="14"/>
      <c r="GW119" s="65"/>
      <c r="GX119" s="13"/>
      <c r="GY119" s="14"/>
      <c r="HA119" s="65"/>
      <c r="HB119" s="13"/>
      <c r="HC119" s="14"/>
      <c r="HE119" s="65"/>
      <c r="HF119" s="13"/>
      <c r="HG119" s="14"/>
      <c r="HI119" s="65"/>
      <c r="HJ119" s="13"/>
      <c r="HK119" s="14"/>
      <c r="HM119" s="65"/>
      <c r="HN119" s="13"/>
      <c r="HO119" s="14"/>
      <c r="HQ119" s="65"/>
      <c r="HR119" s="13"/>
      <c r="HS119" s="14"/>
      <c r="HU119" s="65"/>
      <c r="HV119" s="13"/>
      <c r="HW119" s="14"/>
      <c r="HY119" s="65"/>
      <c r="HZ119" s="13"/>
      <c r="IA119" s="14"/>
      <c r="IC119" s="65"/>
      <c r="ID119" s="13"/>
      <c r="IE119" s="14"/>
      <c r="IG119" s="65"/>
      <c r="IH119" s="13"/>
      <c r="II119" s="14"/>
      <c r="IK119" s="65"/>
      <c r="IL119" s="13"/>
      <c r="IM119" s="14"/>
      <c r="IO119" s="65"/>
      <c r="IP119" s="13"/>
      <c r="IQ119" s="14"/>
      <c r="IS119" s="65"/>
      <c r="IT119" s="13"/>
      <c r="IU119" s="14"/>
      <c r="IW119" s="65"/>
      <c r="IX119" s="13"/>
      <c r="IY119" s="14"/>
      <c r="JA119" s="65"/>
      <c r="JB119" s="13"/>
      <c r="JC119" s="14"/>
      <c r="JE119" s="65"/>
      <c r="JF119" s="13"/>
      <c r="JG119" s="14"/>
      <c r="JI119" s="65"/>
      <c r="JJ119" s="13"/>
      <c r="JK119" s="14"/>
      <c r="JM119" s="65"/>
      <c r="JN119" s="13"/>
      <c r="JO119" s="14"/>
      <c r="JQ119" s="65"/>
      <c r="JR119" s="13"/>
      <c r="JS119" s="14"/>
      <c r="JU119" s="65"/>
      <c r="JV119" s="13"/>
      <c r="JW119" s="14"/>
      <c r="JY119" s="65"/>
      <c r="JZ119" s="13"/>
      <c r="KA119" s="14"/>
      <c r="KC119" s="65"/>
      <c r="KD119" s="13"/>
      <c r="KE119" s="14"/>
      <c r="KG119" s="65"/>
      <c r="KH119" s="13"/>
      <c r="KI119" s="14"/>
      <c r="KK119" s="65"/>
      <c r="KL119" s="13"/>
      <c r="KM119" s="14"/>
      <c r="KO119" s="65"/>
      <c r="KP119" s="13"/>
      <c r="KQ119" s="14"/>
      <c r="KS119" s="65"/>
      <c r="KT119" s="13"/>
      <c r="KU119" s="14"/>
      <c r="KW119" s="65"/>
      <c r="KX119" s="13"/>
      <c r="KY119" s="14"/>
      <c r="LA119" s="65"/>
      <c r="LB119" s="13"/>
      <c r="LC119" s="14"/>
      <c r="LE119" s="65"/>
      <c r="LF119" s="13"/>
      <c r="LG119" s="14"/>
      <c r="LI119" s="65"/>
      <c r="LJ119" s="13"/>
      <c r="LK119" s="14"/>
      <c r="LM119" s="65"/>
      <c r="LN119" s="13"/>
      <c r="LO119" s="14"/>
      <c r="LQ119" s="65"/>
      <c r="LR119" s="13"/>
      <c r="LS119" s="14"/>
      <c r="LU119" s="65"/>
      <c r="LV119" s="13"/>
      <c r="LW119" s="14"/>
      <c r="LY119" s="65"/>
      <c r="LZ119" s="13"/>
      <c r="MA119" s="14"/>
      <c r="MC119" s="65"/>
      <c r="MD119" s="13"/>
      <c r="ME119" s="14"/>
      <c r="MG119" s="65"/>
      <c r="MH119" s="13"/>
      <c r="MI119" s="14"/>
      <c r="MK119" s="65"/>
      <c r="ML119" s="13"/>
      <c r="MM119" s="14"/>
      <c r="MO119" s="65"/>
      <c r="MP119" s="13"/>
      <c r="MQ119" s="14"/>
      <c r="MS119" s="65"/>
      <c r="MT119" s="13"/>
      <c r="MU119" s="14"/>
    </row>
    <row r="120" spans="1:359" hidden="1" x14ac:dyDescent="0.25">
      <c r="A120" s="15">
        <f t="shared" si="171"/>
        <v>0</v>
      </c>
      <c r="B120" s="20">
        <v>42814</v>
      </c>
      <c r="D120" s="12">
        <v>56</v>
      </c>
      <c r="E120" s="12">
        <v>1142637.4092709988</v>
      </c>
      <c r="F120" s="14">
        <v>42544</v>
      </c>
      <c r="I120" s="12"/>
      <c r="J120" s="13"/>
      <c r="K120" s="14"/>
      <c r="N120" s="12"/>
      <c r="O120" s="13"/>
      <c r="P120" s="14"/>
      <c r="T120" s="15"/>
      <c r="U120" s="20"/>
      <c r="W120" s="12"/>
      <c r="X120" s="12"/>
      <c r="Y120" s="14"/>
      <c r="AB120" s="12"/>
      <c r="AC120" s="13"/>
      <c r="AD120" s="14"/>
      <c r="AG120" s="12"/>
      <c r="AH120" s="13"/>
      <c r="AI120" s="14"/>
      <c r="AK120" s="12"/>
      <c r="AL120" s="13"/>
      <c r="AM120" s="14"/>
      <c r="CK120" s="65"/>
      <c r="CL120" s="13"/>
      <c r="CO120" s="65"/>
      <c r="CP120" s="13"/>
      <c r="CS120" s="65"/>
      <c r="CT120" s="13"/>
      <c r="CW120" s="65"/>
      <c r="CX120" s="13"/>
      <c r="DA120" s="65"/>
      <c r="DB120" s="13"/>
      <c r="DE120" s="65"/>
      <c r="DF120" s="13"/>
      <c r="DI120" s="65"/>
      <c r="DJ120" s="13"/>
      <c r="DM120" s="65"/>
      <c r="DN120" s="13"/>
      <c r="DQ120" s="65"/>
      <c r="DR120" s="13"/>
      <c r="DU120" s="65"/>
      <c r="DV120" s="13"/>
      <c r="DY120" s="65"/>
      <c r="DZ120" s="13"/>
      <c r="EA120" s="14"/>
      <c r="EC120" s="65"/>
      <c r="ED120" s="13"/>
      <c r="EE120" s="14"/>
      <c r="EG120" s="65"/>
      <c r="EH120" s="13"/>
      <c r="EI120" s="14"/>
      <c r="EK120" s="65"/>
      <c r="EL120" s="13"/>
      <c r="EM120" s="14"/>
      <c r="EO120" s="65"/>
      <c r="EP120" s="13"/>
      <c r="EQ120" s="14"/>
      <c r="ES120" s="65"/>
      <c r="ET120" s="13"/>
      <c r="EU120" s="14"/>
      <c r="EW120" s="65"/>
      <c r="EX120" s="13"/>
      <c r="EY120" s="14"/>
      <c r="FA120" s="65"/>
      <c r="FB120" s="13"/>
      <c r="FC120" s="14"/>
      <c r="FE120" s="65"/>
      <c r="FF120" s="13"/>
      <c r="FG120" s="14"/>
      <c r="FI120" s="65"/>
      <c r="FJ120" s="13"/>
      <c r="FK120" s="14"/>
      <c r="FM120" s="65"/>
      <c r="FN120" s="13"/>
      <c r="FO120" s="14"/>
      <c r="FQ120" s="65"/>
      <c r="FR120" s="13"/>
      <c r="FS120" s="14"/>
      <c r="FU120" s="65"/>
      <c r="FV120" s="13"/>
      <c r="FW120" s="14"/>
      <c r="FY120" s="65"/>
      <c r="FZ120" s="13"/>
      <c r="GA120" s="14"/>
      <c r="GC120" s="65"/>
      <c r="GD120" s="13"/>
      <c r="GE120" s="14"/>
      <c r="GG120" s="65"/>
      <c r="GH120" s="13"/>
      <c r="GI120" s="14"/>
      <c r="GK120" s="65"/>
      <c r="GL120" s="13"/>
      <c r="GM120" s="14"/>
      <c r="GO120" s="65"/>
      <c r="GP120" s="13"/>
      <c r="GQ120" s="14"/>
      <c r="GS120" s="65"/>
      <c r="GT120" s="13"/>
      <c r="GU120" s="14"/>
      <c r="GW120" s="65"/>
      <c r="GX120" s="13"/>
      <c r="GY120" s="14"/>
      <c r="HA120" s="65"/>
      <c r="HB120" s="13"/>
      <c r="HC120" s="14"/>
      <c r="HE120" s="65"/>
      <c r="HF120" s="13"/>
      <c r="HG120" s="14"/>
      <c r="HI120" s="65"/>
      <c r="HJ120" s="13"/>
      <c r="HK120" s="14"/>
      <c r="HM120" s="65"/>
      <c r="HN120" s="13"/>
      <c r="HO120" s="14"/>
      <c r="HQ120" s="65"/>
      <c r="HR120" s="13"/>
      <c r="HS120" s="14"/>
      <c r="HU120" s="65"/>
      <c r="HV120" s="13"/>
      <c r="HW120" s="14"/>
      <c r="HY120" s="65"/>
      <c r="HZ120" s="13"/>
      <c r="IA120" s="14"/>
      <c r="IC120" s="65"/>
      <c r="ID120" s="13"/>
      <c r="IE120" s="14"/>
      <c r="IG120" s="65"/>
      <c r="IH120" s="13"/>
      <c r="II120" s="14"/>
      <c r="IK120" s="65"/>
      <c r="IL120" s="13"/>
      <c r="IM120" s="14"/>
      <c r="IO120" s="65"/>
      <c r="IP120" s="13"/>
      <c r="IQ120" s="14"/>
      <c r="IS120" s="65"/>
      <c r="IT120" s="13"/>
      <c r="IU120" s="14"/>
      <c r="IW120" s="65"/>
      <c r="IX120" s="13"/>
      <c r="IY120" s="14"/>
      <c r="JA120" s="65"/>
      <c r="JB120" s="13"/>
      <c r="JC120" s="14"/>
      <c r="JE120" s="65"/>
      <c r="JF120" s="13"/>
      <c r="JG120" s="14"/>
      <c r="JI120" s="65"/>
      <c r="JJ120" s="13"/>
      <c r="JK120" s="14"/>
      <c r="JM120" s="65"/>
      <c r="JN120" s="13"/>
      <c r="JO120" s="14"/>
      <c r="JQ120" s="65"/>
      <c r="JR120" s="13"/>
      <c r="JS120" s="14"/>
      <c r="JU120" s="65"/>
      <c r="JV120" s="13"/>
      <c r="JW120" s="14"/>
      <c r="JY120" s="65"/>
      <c r="JZ120" s="13"/>
      <c r="KA120" s="14"/>
      <c r="KC120" s="65"/>
      <c r="KD120" s="13"/>
      <c r="KE120" s="14"/>
      <c r="KG120" s="65"/>
      <c r="KH120" s="13"/>
      <c r="KI120" s="14"/>
      <c r="KK120" s="65"/>
      <c r="KL120" s="13"/>
      <c r="KM120" s="14"/>
      <c r="KO120" s="65"/>
      <c r="KP120" s="13"/>
      <c r="KQ120" s="14"/>
      <c r="KS120" s="65"/>
      <c r="KT120" s="13"/>
      <c r="KU120" s="14"/>
      <c r="KW120" s="65"/>
      <c r="KX120" s="13"/>
      <c r="KY120" s="14"/>
      <c r="LA120" s="65"/>
      <c r="LB120" s="13"/>
      <c r="LC120" s="14"/>
      <c r="LE120" s="65"/>
      <c r="LF120" s="13"/>
      <c r="LG120" s="14"/>
      <c r="LI120" s="65"/>
      <c r="LJ120" s="13"/>
      <c r="LK120" s="14"/>
      <c r="LM120" s="65"/>
      <c r="LN120" s="13"/>
      <c r="LO120" s="14"/>
      <c r="LQ120" s="65"/>
      <c r="LR120" s="13"/>
      <c r="LS120" s="14"/>
      <c r="LU120" s="65"/>
      <c r="LV120" s="13"/>
      <c r="LW120" s="14"/>
      <c r="LY120" s="65"/>
      <c r="LZ120" s="13"/>
      <c r="MA120" s="14"/>
      <c r="MC120" s="65"/>
      <c r="MD120" s="13"/>
      <c r="ME120" s="14"/>
      <c r="MG120" s="65"/>
      <c r="MH120" s="13"/>
      <c r="MI120" s="14"/>
      <c r="MK120" s="65"/>
      <c r="ML120" s="13"/>
      <c r="MM120" s="14"/>
      <c r="MO120" s="65"/>
      <c r="MP120" s="13"/>
      <c r="MQ120" s="14"/>
      <c r="MS120" s="65"/>
      <c r="MT120" s="13"/>
      <c r="MU120" s="14"/>
    </row>
    <row r="121" spans="1:359" hidden="1" x14ac:dyDescent="0.25">
      <c r="A121" s="15">
        <f t="shared" si="171"/>
        <v>0</v>
      </c>
      <c r="B121" s="20">
        <v>42815</v>
      </c>
      <c r="D121" s="12">
        <v>55</v>
      </c>
      <c r="E121" s="12">
        <v>1142664.6476321092</v>
      </c>
      <c r="F121" s="14">
        <v>42545</v>
      </c>
      <c r="I121" s="12"/>
      <c r="J121" s="13"/>
      <c r="K121" s="14"/>
      <c r="N121" s="12"/>
      <c r="O121" s="13"/>
      <c r="P121" s="14"/>
      <c r="T121" s="15"/>
      <c r="U121" s="20"/>
      <c r="W121" s="12"/>
      <c r="X121" s="12"/>
      <c r="Y121" s="14"/>
      <c r="AB121" s="12"/>
      <c r="AC121" s="13"/>
      <c r="AD121" s="14"/>
      <c r="AG121" s="12"/>
      <c r="AH121" s="13"/>
      <c r="AI121" s="14"/>
      <c r="AK121" s="12"/>
      <c r="AL121" s="13"/>
      <c r="AM121" s="14"/>
      <c r="CK121" s="65"/>
      <c r="CL121" s="13"/>
      <c r="CO121" s="65"/>
      <c r="CP121" s="13"/>
      <c r="CS121" s="65"/>
      <c r="CT121" s="13"/>
      <c r="CW121" s="65"/>
      <c r="CX121" s="13"/>
      <c r="DA121" s="65"/>
      <c r="DB121" s="13"/>
      <c r="DE121" s="65"/>
      <c r="DF121" s="13"/>
      <c r="DI121" s="65"/>
      <c r="DJ121" s="13"/>
      <c r="DM121" s="65"/>
      <c r="DN121" s="13"/>
      <c r="DQ121" s="65"/>
      <c r="DR121" s="13"/>
      <c r="DU121" s="65"/>
      <c r="DV121" s="13"/>
      <c r="DY121" s="65"/>
      <c r="DZ121" s="13"/>
      <c r="EA121" s="14"/>
      <c r="EC121" s="65"/>
      <c r="ED121" s="13"/>
      <c r="EE121" s="14"/>
      <c r="EG121" s="65"/>
      <c r="EH121" s="13"/>
      <c r="EI121" s="14"/>
      <c r="EK121" s="65"/>
      <c r="EL121" s="13"/>
      <c r="EM121" s="14"/>
      <c r="EO121" s="65"/>
      <c r="EP121" s="13"/>
      <c r="EQ121" s="14"/>
      <c r="ES121" s="65"/>
      <c r="ET121" s="13"/>
      <c r="EU121" s="14"/>
      <c r="EW121" s="65"/>
      <c r="EX121" s="13"/>
      <c r="EY121" s="14"/>
      <c r="FA121" s="65"/>
      <c r="FB121" s="13"/>
      <c r="FC121" s="14"/>
      <c r="FE121" s="65"/>
      <c r="FF121" s="13"/>
      <c r="FG121" s="14"/>
      <c r="FI121" s="65"/>
      <c r="FJ121" s="13"/>
      <c r="FK121" s="14"/>
      <c r="FM121" s="65"/>
      <c r="FN121" s="13"/>
      <c r="FO121" s="14"/>
      <c r="FQ121" s="65"/>
      <c r="FR121" s="13"/>
      <c r="FS121" s="14"/>
      <c r="FU121" s="65"/>
      <c r="FV121" s="13"/>
      <c r="FW121" s="14"/>
      <c r="FY121" s="65"/>
      <c r="FZ121" s="13"/>
      <c r="GA121" s="14"/>
      <c r="GC121" s="65"/>
      <c r="GD121" s="13"/>
      <c r="GE121" s="14"/>
      <c r="GG121" s="65"/>
      <c r="GH121" s="13"/>
      <c r="GI121" s="14"/>
      <c r="GK121" s="65"/>
      <c r="GL121" s="13"/>
      <c r="GM121" s="14"/>
      <c r="GO121" s="65"/>
      <c r="GP121" s="13"/>
      <c r="GQ121" s="14"/>
      <c r="GS121" s="65"/>
      <c r="GT121" s="13"/>
      <c r="GU121" s="14"/>
      <c r="GW121" s="65"/>
      <c r="GX121" s="13"/>
      <c r="GY121" s="14"/>
      <c r="HA121" s="65"/>
      <c r="HB121" s="13"/>
      <c r="HC121" s="14"/>
      <c r="HE121" s="65"/>
      <c r="HF121" s="13"/>
      <c r="HG121" s="14"/>
      <c r="HI121" s="65"/>
      <c r="HJ121" s="13"/>
      <c r="HK121" s="14"/>
      <c r="HM121" s="65"/>
      <c r="HN121" s="13"/>
      <c r="HO121" s="14"/>
      <c r="HQ121" s="65"/>
      <c r="HR121" s="13"/>
      <c r="HS121" s="14"/>
      <c r="HU121" s="65"/>
      <c r="HV121" s="13"/>
      <c r="HW121" s="14"/>
      <c r="HY121" s="65"/>
      <c r="HZ121" s="13"/>
      <c r="IA121" s="14"/>
      <c r="IC121" s="65"/>
      <c r="ID121" s="13"/>
      <c r="IE121" s="14"/>
      <c r="IG121" s="65"/>
      <c r="IH121" s="13"/>
      <c r="II121" s="14"/>
      <c r="IK121" s="65"/>
      <c r="IL121" s="13"/>
      <c r="IM121" s="14"/>
      <c r="IO121" s="65"/>
      <c r="IP121" s="13"/>
      <c r="IQ121" s="14"/>
      <c r="IS121" s="65"/>
      <c r="IT121" s="13"/>
      <c r="IU121" s="14"/>
      <c r="IW121" s="65"/>
      <c r="IX121" s="13"/>
      <c r="IY121" s="14"/>
      <c r="JA121" s="65"/>
      <c r="JB121" s="13"/>
      <c r="JC121" s="14"/>
      <c r="JE121" s="65"/>
      <c r="JF121" s="13"/>
      <c r="JG121" s="14"/>
      <c r="JI121" s="65"/>
      <c r="JJ121" s="13"/>
      <c r="JK121" s="14"/>
      <c r="JM121" s="65"/>
      <c r="JN121" s="13"/>
      <c r="JO121" s="14"/>
      <c r="JQ121" s="65"/>
      <c r="JR121" s="13"/>
      <c r="JS121" s="14"/>
      <c r="JU121" s="65"/>
      <c r="JV121" s="13"/>
      <c r="JW121" s="14"/>
      <c r="JY121" s="65"/>
      <c r="JZ121" s="13"/>
      <c r="KA121" s="14"/>
      <c r="KC121" s="65"/>
      <c r="KD121" s="13"/>
      <c r="KE121" s="14"/>
      <c r="KG121" s="65"/>
      <c r="KH121" s="13"/>
      <c r="KI121" s="14"/>
      <c r="KK121" s="65"/>
      <c r="KL121" s="13"/>
      <c r="KM121" s="14"/>
      <c r="KO121" s="65"/>
      <c r="KP121" s="13"/>
      <c r="KQ121" s="14"/>
      <c r="KS121" s="65"/>
      <c r="KT121" s="13"/>
      <c r="KU121" s="14"/>
      <c r="KW121" s="65"/>
      <c r="KX121" s="13"/>
      <c r="KY121" s="14"/>
      <c r="LA121" s="65"/>
      <c r="LB121" s="13"/>
      <c r="LC121" s="14"/>
      <c r="LE121" s="65"/>
      <c r="LF121" s="13"/>
      <c r="LG121" s="14"/>
      <c r="LI121" s="65"/>
      <c r="LJ121" s="13"/>
      <c r="LK121" s="14"/>
      <c r="LM121" s="65"/>
      <c r="LN121" s="13"/>
      <c r="LO121" s="14"/>
      <c r="LQ121" s="65"/>
      <c r="LR121" s="13"/>
      <c r="LS121" s="14"/>
      <c r="LU121" s="65"/>
      <c r="LV121" s="13"/>
      <c r="LW121" s="14"/>
      <c r="LY121" s="65"/>
      <c r="LZ121" s="13"/>
      <c r="MA121" s="14"/>
      <c r="MC121" s="65"/>
      <c r="MD121" s="13"/>
      <c r="ME121" s="14"/>
      <c r="MG121" s="65"/>
      <c r="MH121" s="13"/>
      <c r="MI121" s="14"/>
      <c r="MK121" s="65"/>
      <c r="ML121" s="13"/>
      <c r="MM121" s="14"/>
      <c r="MO121" s="65"/>
      <c r="MP121" s="13"/>
      <c r="MQ121" s="14"/>
      <c r="MS121" s="65"/>
      <c r="MT121" s="13"/>
      <c r="MU121" s="14"/>
    </row>
    <row r="122" spans="1:359" hidden="1" x14ac:dyDescent="0.25">
      <c r="A122" s="15">
        <f t="shared" si="171"/>
        <v>0</v>
      </c>
      <c r="B122" s="20">
        <v>42816</v>
      </c>
      <c r="D122" s="12">
        <v>54</v>
      </c>
      <c r="E122" s="12">
        <v>1142691.8872918752</v>
      </c>
      <c r="F122" s="14">
        <v>42546</v>
      </c>
      <c r="I122" s="12"/>
      <c r="J122" s="13"/>
      <c r="K122" s="14"/>
      <c r="N122" s="12"/>
      <c r="O122" s="13"/>
      <c r="P122" s="14"/>
      <c r="T122" s="15"/>
      <c r="U122" s="20"/>
      <c r="W122" s="12"/>
      <c r="X122" s="12"/>
      <c r="Y122" s="14"/>
      <c r="AB122" s="12"/>
      <c r="AC122" s="13"/>
      <c r="AD122" s="14"/>
      <c r="AG122" s="12"/>
      <c r="AH122" s="13"/>
      <c r="AI122" s="14"/>
      <c r="AK122" s="12"/>
      <c r="AL122" s="13"/>
      <c r="AM122" s="14"/>
      <c r="CK122" s="65"/>
      <c r="CL122" s="13"/>
      <c r="CO122" s="65"/>
      <c r="CP122" s="13"/>
      <c r="CS122" s="65"/>
      <c r="CT122" s="13"/>
      <c r="CW122" s="65"/>
      <c r="CX122" s="13"/>
      <c r="DA122" s="65"/>
      <c r="DB122" s="13"/>
      <c r="DE122" s="65"/>
      <c r="DF122" s="13"/>
      <c r="DI122" s="65"/>
      <c r="DJ122" s="13"/>
      <c r="DM122" s="65"/>
      <c r="DN122" s="13"/>
      <c r="DQ122" s="65"/>
      <c r="DR122" s="13"/>
      <c r="DU122" s="65"/>
      <c r="DV122" s="13"/>
      <c r="DY122" s="65"/>
      <c r="DZ122" s="13"/>
      <c r="EA122" s="14"/>
      <c r="EC122" s="65"/>
      <c r="ED122" s="13"/>
      <c r="EE122" s="14"/>
      <c r="EG122" s="65"/>
      <c r="EH122" s="13"/>
      <c r="EI122" s="14"/>
      <c r="EK122" s="65"/>
      <c r="EL122" s="13"/>
      <c r="EM122" s="14"/>
      <c r="EO122" s="65"/>
      <c r="EP122" s="13"/>
      <c r="EQ122" s="14"/>
      <c r="ES122" s="65"/>
      <c r="ET122" s="13"/>
      <c r="EU122" s="14"/>
      <c r="EW122" s="65"/>
      <c r="EX122" s="13"/>
      <c r="EY122" s="14"/>
      <c r="FA122" s="65"/>
      <c r="FB122" s="13"/>
      <c r="FC122" s="14"/>
      <c r="FE122" s="65"/>
      <c r="FF122" s="13"/>
      <c r="FG122" s="14"/>
      <c r="FI122" s="65"/>
      <c r="FJ122" s="13"/>
      <c r="FK122" s="14"/>
      <c r="FM122" s="65"/>
      <c r="FN122" s="13"/>
      <c r="FO122" s="14"/>
      <c r="FQ122" s="65"/>
      <c r="FR122" s="13"/>
      <c r="FS122" s="14"/>
      <c r="FU122" s="65"/>
      <c r="FV122" s="13"/>
      <c r="FW122" s="14"/>
      <c r="FY122" s="65"/>
      <c r="FZ122" s="13"/>
      <c r="GA122" s="14"/>
      <c r="GC122" s="65"/>
      <c r="GD122" s="13"/>
      <c r="GE122" s="14"/>
      <c r="GG122" s="65"/>
      <c r="GH122" s="13"/>
      <c r="GI122" s="14"/>
      <c r="GK122" s="65"/>
      <c r="GL122" s="13"/>
      <c r="GM122" s="14"/>
      <c r="GO122" s="65"/>
      <c r="GP122" s="13"/>
      <c r="GQ122" s="14"/>
      <c r="GS122" s="65"/>
      <c r="GT122" s="13"/>
      <c r="GU122" s="14"/>
      <c r="GW122" s="65"/>
      <c r="GX122" s="13"/>
      <c r="GY122" s="14"/>
      <c r="HA122" s="65"/>
      <c r="HB122" s="13"/>
      <c r="HC122" s="14"/>
      <c r="HE122" s="65"/>
      <c r="HF122" s="13"/>
      <c r="HG122" s="14"/>
      <c r="HI122" s="65"/>
      <c r="HJ122" s="13"/>
      <c r="HK122" s="14"/>
      <c r="HM122" s="65"/>
      <c r="HN122" s="13"/>
      <c r="HO122" s="14"/>
      <c r="HQ122" s="65"/>
      <c r="HR122" s="13"/>
      <c r="HS122" s="14"/>
      <c r="HU122" s="65"/>
      <c r="HV122" s="13"/>
      <c r="HW122" s="14"/>
      <c r="HY122" s="65"/>
      <c r="HZ122" s="13"/>
      <c r="IA122" s="14"/>
      <c r="IC122" s="65"/>
      <c r="ID122" s="13"/>
      <c r="IE122" s="14"/>
      <c r="IG122" s="65"/>
      <c r="IH122" s="13"/>
      <c r="II122" s="14"/>
      <c r="IK122" s="65"/>
      <c r="IL122" s="13"/>
      <c r="IM122" s="14"/>
      <c r="IO122" s="65"/>
      <c r="IP122" s="13"/>
      <c r="IQ122" s="14"/>
      <c r="IS122" s="65"/>
      <c r="IT122" s="13"/>
      <c r="IU122" s="14"/>
      <c r="IW122" s="65"/>
      <c r="IX122" s="13"/>
      <c r="IY122" s="14"/>
      <c r="JA122" s="65"/>
      <c r="JB122" s="13"/>
      <c r="JC122" s="14"/>
      <c r="JE122" s="65"/>
      <c r="JF122" s="13"/>
      <c r="JG122" s="14"/>
      <c r="JI122" s="65"/>
      <c r="JJ122" s="13"/>
      <c r="JK122" s="14"/>
      <c r="JM122" s="65"/>
      <c r="JN122" s="13"/>
      <c r="JO122" s="14"/>
      <c r="JQ122" s="65"/>
      <c r="JR122" s="13"/>
      <c r="JS122" s="14"/>
      <c r="JU122" s="65"/>
      <c r="JV122" s="13"/>
      <c r="JW122" s="14"/>
      <c r="JY122" s="65"/>
      <c r="JZ122" s="13"/>
      <c r="KA122" s="14"/>
      <c r="KC122" s="65"/>
      <c r="KD122" s="13"/>
      <c r="KE122" s="14"/>
      <c r="KG122" s="65"/>
      <c r="KH122" s="13"/>
      <c r="KI122" s="14"/>
      <c r="KK122" s="65"/>
      <c r="KL122" s="13"/>
      <c r="KM122" s="14"/>
      <c r="KO122" s="65"/>
      <c r="KP122" s="13"/>
      <c r="KQ122" s="14"/>
      <c r="KS122" s="65"/>
      <c r="KT122" s="13"/>
      <c r="KU122" s="14"/>
      <c r="KW122" s="65"/>
      <c r="KX122" s="13"/>
      <c r="KY122" s="14"/>
      <c r="LA122" s="65"/>
      <c r="LB122" s="13"/>
      <c r="LC122" s="14"/>
      <c r="LE122" s="65"/>
      <c r="LF122" s="13"/>
      <c r="LG122" s="14"/>
      <c r="LI122" s="65"/>
      <c r="LJ122" s="13"/>
      <c r="LK122" s="14"/>
      <c r="LM122" s="65"/>
      <c r="LN122" s="13"/>
      <c r="LO122" s="14"/>
      <c r="LQ122" s="65"/>
      <c r="LR122" s="13"/>
      <c r="LS122" s="14"/>
      <c r="LU122" s="65"/>
      <c r="LV122" s="13"/>
      <c r="LW122" s="14"/>
      <c r="LY122" s="65"/>
      <c r="LZ122" s="13"/>
      <c r="MA122" s="14"/>
      <c r="MC122" s="65"/>
      <c r="MD122" s="13"/>
      <c r="ME122" s="14"/>
      <c r="MG122" s="65"/>
      <c r="MH122" s="13"/>
      <c r="MI122" s="14"/>
      <c r="MK122" s="65"/>
      <c r="ML122" s="13"/>
      <c r="MM122" s="14"/>
      <c r="MO122" s="65"/>
      <c r="MP122" s="13"/>
      <c r="MQ122" s="14"/>
      <c r="MS122" s="65"/>
      <c r="MT122" s="13"/>
      <c r="MU122" s="14"/>
    </row>
    <row r="123" spans="1:359" hidden="1" x14ac:dyDescent="0.25">
      <c r="A123" s="15">
        <f t="shared" si="171"/>
        <v>0</v>
      </c>
      <c r="B123" s="20">
        <v>42817</v>
      </c>
      <c r="D123" s="12">
        <v>53</v>
      </c>
      <c r="E123" s="12">
        <v>1142719.1282503889</v>
      </c>
      <c r="F123" s="14">
        <v>42547</v>
      </c>
      <c r="I123" s="12"/>
      <c r="J123" s="13"/>
      <c r="K123" s="14"/>
      <c r="N123" s="12"/>
      <c r="O123" s="13"/>
      <c r="P123" s="14"/>
      <c r="T123" s="15"/>
      <c r="U123" s="20"/>
      <c r="W123" s="12"/>
      <c r="X123" s="12"/>
      <c r="Y123" s="14"/>
      <c r="AB123" s="12"/>
      <c r="AC123" s="13"/>
      <c r="AD123" s="14"/>
      <c r="AG123" s="12"/>
      <c r="AH123" s="13"/>
      <c r="AI123" s="14"/>
      <c r="AK123" s="12"/>
      <c r="AL123" s="13"/>
      <c r="AM123" s="14"/>
      <c r="CK123" s="65"/>
      <c r="CL123" s="13"/>
      <c r="CO123" s="65"/>
      <c r="CP123" s="13"/>
      <c r="CS123" s="65"/>
      <c r="CT123" s="13"/>
      <c r="CW123" s="65"/>
      <c r="CX123" s="13"/>
      <c r="DA123" s="65"/>
      <c r="DB123" s="13"/>
      <c r="DE123" s="65"/>
      <c r="DF123" s="13"/>
      <c r="DI123" s="65"/>
      <c r="DJ123" s="13"/>
      <c r="DM123" s="65"/>
      <c r="DN123" s="13"/>
      <c r="DQ123" s="65"/>
      <c r="DR123" s="13"/>
      <c r="DU123" s="65"/>
      <c r="DV123" s="13"/>
      <c r="DY123" s="65"/>
      <c r="DZ123" s="13"/>
      <c r="EA123" s="14"/>
      <c r="EC123" s="65"/>
      <c r="ED123" s="13"/>
      <c r="EE123" s="14"/>
      <c r="EG123" s="65"/>
      <c r="EH123" s="13"/>
      <c r="EI123" s="14"/>
      <c r="EK123" s="65"/>
      <c r="EL123" s="13"/>
      <c r="EM123" s="14"/>
      <c r="EO123" s="65"/>
      <c r="EP123" s="13"/>
      <c r="EQ123" s="14"/>
      <c r="ES123" s="65"/>
      <c r="ET123" s="13"/>
      <c r="EU123" s="14"/>
      <c r="EW123" s="65"/>
      <c r="EX123" s="13"/>
      <c r="EY123" s="14"/>
      <c r="FA123" s="65"/>
      <c r="FB123" s="13"/>
      <c r="FC123" s="14"/>
      <c r="FE123" s="65"/>
      <c r="FF123" s="13"/>
      <c r="FG123" s="14"/>
      <c r="FI123" s="65"/>
      <c r="FJ123" s="13"/>
      <c r="FK123" s="14"/>
      <c r="FM123" s="65"/>
      <c r="FN123" s="13"/>
      <c r="FO123" s="14"/>
      <c r="FQ123" s="65"/>
      <c r="FR123" s="13"/>
      <c r="FS123" s="14"/>
      <c r="FU123" s="65"/>
      <c r="FV123" s="13"/>
      <c r="FW123" s="14"/>
      <c r="FY123" s="65"/>
      <c r="FZ123" s="13"/>
      <c r="GA123" s="14"/>
      <c r="GC123" s="65"/>
      <c r="GD123" s="13"/>
      <c r="GE123" s="14"/>
      <c r="GG123" s="65"/>
      <c r="GH123" s="13"/>
      <c r="GI123" s="14"/>
      <c r="GK123" s="65"/>
      <c r="GL123" s="13"/>
      <c r="GM123" s="14"/>
      <c r="GO123" s="65"/>
      <c r="GP123" s="13"/>
      <c r="GQ123" s="14"/>
      <c r="GS123" s="65"/>
      <c r="GT123" s="13"/>
      <c r="GU123" s="14"/>
      <c r="GW123" s="65"/>
      <c r="GX123" s="13"/>
      <c r="GY123" s="14"/>
      <c r="HA123" s="65"/>
      <c r="HB123" s="13"/>
      <c r="HC123" s="14"/>
      <c r="HE123" s="65"/>
      <c r="HF123" s="13"/>
      <c r="HG123" s="14"/>
      <c r="HI123" s="65"/>
      <c r="HJ123" s="13"/>
      <c r="HK123" s="14"/>
      <c r="HM123" s="65"/>
      <c r="HN123" s="13"/>
      <c r="HO123" s="14"/>
      <c r="HQ123" s="65"/>
      <c r="HR123" s="13"/>
      <c r="HS123" s="14"/>
      <c r="HU123" s="65"/>
      <c r="HV123" s="13"/>
      <c r="HW123" s="14"/>
      <c r="HY123" s="65"/>
      <c r="HZ123" s="13"/>
      <c r="IA123" s="14"/>
      <c r="IC123" s="65"/>
      <c r="ID123" s="13"/>
      <c r="IE123" s="14"/>
      <c r="IG123" s="65"/>
      <c r="IH123" s="13"/>
      <c r="II123" s="14"/>
      <c r="IK123" s="65"/>
      <c r="IL123" s="13"/>
      <c r="IM123" s="14"/>
      <c r="IO123" s="65"/>
      <c r="IP123" s="13"/>
      <c r="IQ123" s="14"/>
      <c r="IS123" s="65"/>
      <c r="IT123" s="13"/>
      <c r="IU123" s="14"/>
      <c r="IW123" s="65"/>
      <c r="IX123" s="13"/>
      <c r="IY123" s="14"/>
      <c r="JA123" s="65"/>
      <c r="JB123" s="13"/>
      <c r="JC123" s="14"/>
      <c r="JE123" s="65"/>
      <c r="JF123" s="13"/>
      <c r="JG123" s="14"/>
      <c r="JI123" s="65"/>
      <c r="JJ123" s="13"/>
      <c r="JK123" s="14"/>
      <c r="JM123" s="65"/>
      <c r="JN123" s="13"/>
      <c r="JO123" s="14"/>
      <c r="JQ123" s="65"/>
      <c r="JR123" s="13"/>
      <c r="JS123" s="14"/>
      <c r="JU123" s="65"/>
      <c r="JV123" s="13"/>
      <c r="JW123" s="14"/>
      <c r="JY123" s="65"/>
      <c r="JZ123" s="13"/>
      <c r="KA123" s="14"/>
      <c r="KC123" s="65"/>
      <c r="KD123" s="13"/>
      <c r="KE123" s="14"/>
      <c r="KG123" s="65"/>
      <c r="KH123" s="13"/>
      <c r="KI123" s="14"/>
      <c r="KK123" s="65"/>
      <c r="KL123" s="13"/>
      <c r="KM123" s="14"/>
      <c r="KO123" s="65"/>
      <c r="KP123" s="13"/>
      <c r="KQ123" s="14"/>
      <c r="KS123" s="65"/>
      <c r="KT123" s="13"/>
      <c r="KU123" s="14"/>
      <c r="KW123" s="65"/>
      <c r="KX123" s="13"/>
      <c r="KY123" s="14"/>
      <c r="LA123" s="65"/>
      <c r="LB123" s="13"/>
      <c r="LC123" s="14"/>
      <c r="LE123" s="65"/>
      <c r="LF123" s="13"/>
      <c r="LG123" s="14"/>
      <c r="LI123" s="65"/>
      <c r="LJ123" s="13"/>
      <c r="LK123" s="14"/>
      <c r="LM123" s="65"/>
      <c r="LN123" s="13"/>
      <c r="LO123" s="14"/>
      <c r="LQ123" s="65"/>
      <c r="LR123" s="13"/>
      <c r="LS123" s="14"/>
      <c r="LU123" s="65"/>
      <c r="LV123" s="13"/>
      <c r="LW123" s="14"/>
      <c r="LY123" s="65"/>
      <c r="LZ123" s="13"/>
      <c r="MA123" s="14"/>
      <c r="MC123" s="65"/>
      <c r="MD123" s="13"/>
      <c r="ME123" s="14"/>
      <c r="MG123" s="65"/>
      <c r="MH123" s="13"/>
      <c r="MI123" s="14"/>
      <c r="MK123" s="65"/>
      <c r="ML123" s="13"/>
      <c r="MM123" s="14"/>
      <c r="MO123" s="65"/>
      <c r="MP123" s="13"/>
      <c r="MQ123" s="14"/>
      <c r="MS123" s="65"/>
      <c r="MT123" s="13"/>
      <c r="MU123" s="14"/>
    </row>
    <row r="124" spans="1:359" hidden="1" x14ac:dyDescent="0.25">
      <c r="A124" s="15">
        <f t="shared" si="171"/>
        <v>0</v>
      </c>
      <c r="B124" s="20">
        <v>42818</v>
      </c>
      <c r="D124" s="12">
        <v>52</v>
      </c>
      <c r="E124" s="12">
        <v>1142746.3705077439</v>
      </c>
      <c r="F124" s="14">
        <v>42548</v>
      </c>
      <c r="I124" s="12"/>
      <c r="J124" s="13"/>
      <c r="K124" s="14"/>
      <c r="N124" s="12"/>
      <c r="O124" s="13"/>
      <c r="P124" s="14"/>
      <c r="T124" s="15"/>
      <c r="U124" s="20"/>
      <c r="W124" s="12"/>
      <c r="X124" s="12"/>
      <c r="Y124" s="14"/>
      <c r="AB124" s="12"/>
      <c r="AC124" s="13"/>
      <c r="AD124" s="14"/>
      <c r="AG124" s="12"/>
      <c r="AH124" s="13"/>
      <c r="AI124" s="14"/>
      <c r="AK124" s="12"/>
      <c r="AL124" s="13"/>
      <c r="AM124" s="14"/>
      <c r="CK124" s="65"/>
      <c r="CL124" s="13"/>
      <c r="CO124" s="65"/>
      <c r="CP124" s="13"/>
      <c r="CS124" s="65"/>
      <c r="CT124" s="13"/>
      <c r="CW124" s="65"/>
      <c r="CX124" s="13"/>
      <c r="DA124" s="65"/>
      <c r="DB124" s="13"/>
      <c r="DE124" s="65"/>
      <c r="DF124" s="13"/>
      <c r="DI124" s="65"/>
      <c r="DJ124" s="13"/>
      <c r="DM124" s="65"/>
      <c r="DN124" s="13"/>
      <c r="DQ124" s="65"/>
      <c r="DR124" s="13"/>
      <c r="DU124" s="65"/>
      <c r="DV124" s="13"/>
      <c r="DY124" s="65"/>
      <c r="DZ124" s="13"/>
      <c r="EA124" s="14"/>
      <c r="EC124" s="65"/>
      <c r="ED124" s="13"/>
      <c r="EE124" s="14"/>
      <c r="EG124" s="65"/>
      <c r="EH124" s="13"/>
      <c r="EI124" s="14"/>
      <c r="EK124" s="65"/>
      <c r="EL124" s="13"/>
      <c r="EM124" s="14"/>
      <c r="EO124" s="65"/>
      <c r="EP124" s="13"/>
      <c r="EQ124" s="14"/>
      <c r="ES124" s="65"/>
      <c r="ET124" s="13"/>
      <c r="EU124" s="14"/>
      <c r="EW124" s="65"/>
      <c r="EX124" s="13"/>
      <c r="EY124" s="14"/>
      <c r="FA124" s="65"/>
      <c r="FB124" s="13"/>
      <c r="FC124" s="14"/>
      <c r="FE124" s="65"/>
      <c r="FF124" s="13"/>
      <c r="FG124" s="14"/>
      <c r="FI124" s="65"/>
      <c r="FJ124" s="13"/>
      <c r="FK124" s="14"/>
      <c r="FM124" s="65"/>
      <c r="FN124" s="13"/>
      <c r="FO124" s="14"/>
      <c r="FQ124" s="65"/>
      <c r="FR124" s="13"/>
      <c r="FS124" s="14"/>
      <c r="FU124" s="65"/>
      <c r="FV124" s="13"/>
      <c r="FW124" s="14"/>
      <c r="FY124" s="65"/>
      <c r="FZ124" s="13"/>
      <c r="GA124" s="14"/>
      <c r="GC124" s="65"/>
      <c r="GD124" s="13"/>
      <c r="GE124" s="14"/>
      <c r="GG124" s="65"/>
      <c r="GH124" s="13"/>
      <c r="GI124" s="14"/>
      <c r="GK124" s="65"/>
      <c r="GL124" s="13"/>
      <c r="GM124" s="14"/>
      <c r="GO124" s="65"/>
      <c r="GP124" s="13"/>
      <c r="GQ124" s="14"/>
      <c r="GS124" s="65"/>
      <c r="GT124" s="13"/>
      <c r="GU124" s="14"/>
      <c r="GW124" s="65"/>
      <c r="GX124" s="13"/>
      <c r="GY124" s="14"/>
      <c r="HA124" s="65"/>
      <c r="HB124" s="13"/>
      <c r="HC124" s="14"/>
      <c r="HE124" s="65"/>
      <c r="HF124" s="13"/>
      <c r="HG124" s="14"/>
      <c r="HI124" s="65"/>
      <c r="HJ124" s="13"/>
      <c r="HK124" s="14"/>
      <c r="HM124" s="65"/>
      <c r="HN124" s="13"/>
      <c r="HO124" s="14"/>
      <c r="HQ124" s="65"/>
      <c r="HR124" s="13"/>
      <c r="HS124" s="14"/>
      <c r="HU124" s="65"/>
      <c r="HV124" s="13"/>
      <c r="HW124" s="14"/>
      <c r="HY124" s="65"/>
      <c r="HZ124" s="13"/>
      <c r="IA124" s="14"/>
      <c r="IC124" s="65"/>
      <c r="ID124" s="13"/>
      <c r="IE124" s="14"/>
      <c r="IG124" s="65"/>
      <c r="IH124" s="13"/>
      <c r="II124" s="14"/>
      <c r="IK124" s="65"/>
      <c r="IL124" s="13"/>
      <c r="IM124" s="14"/>
      <c r="IO124" s="65"/>
      <c r="IP124" s="13"/>
      <c r="IQ124" s="14"/>
      <c r="IS124" s="65"/>
      <c r="IT124" s="13"/>
      <c r="IU124" s="14"/>
      <c r="IW124" s="65"/>
      <c r="IX124" s="13"/>
      <c r="IY124" s="14"/>
      <c r="JA124" s="65"/>
      <c r="JB124" s="13"/>
      <c r="JC124" s="14"/>
      <c r="JE124" s="65"/>
      <c r="JF124" s="13"/>
      <c r="JG124" s="14"/>
      <c r="JI124" s="65"/>
      <c r="JJ124" s="13"/>
      <c r="JK124" s="14"/>
      <c r="JM124" s="65"/>
      <c r="JN124" s="13"/>
      <c r="JO124" s="14"/>
      <c r="JQ124" s="65"/>
      <c r="JR124" s="13"/>
      <c r="JS124" s="14"/>
      <c r="JU124" s="65"/>
      <c r="JV124" s="13"/>
      <c r="JW124" s="14"/>
      <c r="JY124" s="65"/>
      <c r="JZ124" s="13"/>
      <c r="KA124" s="14"/>
      <c r="KC124" s="65"/>
      <c r="KD124" s="13"/>
      <c r="KE124" s="14"/>
      <c r="KG124" s="65"/>
      <c r="KH124" s="13"/>
      <c r="KI124" s="14"/>
      <c r="KK124" s="65"/>
      <c r="KL124" s="13"/>
      <c r="KM124" s="14"/>
      <c r="KO124" s="65"/>
      <c r="KP124" s="13"/>
      <c r="KQ124" s="14"/>
      <c r="KS124" s="65"/>
      <c r="KT124" s="13"/>
      <c r="KU124" s="14"/>
      <c r="KW124" s="65"/>
      <c r="KX124" s="13"/>
      <c r="KY124" s="14"/>
      <c r="LA124" s="65"/>
      <c r="LB124" s="13"/>
      <c r="LC124" s="14"/>
      <c r="LE124" s="65"/>
      <c r="LF124" s="13"/>
      <c r="LG124" s="14"/>
      <c r="LI124" s="65"/>
      <c r="LJ124" s="13"/>
      <c r="LK124" s="14"/>
      <c r="LM124" s="65"/>
      <c r="LN124" s="13"/>
      <c r="LO124" s="14"/>
      <c r="LQ124" s="65"/>
      <c r="LR124" s="13"/>
      <c r="LS124" s="14"/>
      <c r="LU124" s="65"/>
      <c r="LV124" s="13"/>
      <c r="LW124" s="14"/>
      <c r="LY124" s="65"/>
      <c r="LZ124" s="13"/>
      <c r="MA124" s="14"/>
      <c r="MC124" s="65"/>
      <c r="MD124" s="13"/>
      <c r="ME124" s="14"/>
      <c r="MG124" s="65"/>
      <c r="MH124" s="13"/>
      <c r="MI124" s="14"/>
      <c r="MK124" s="65"/>
      <c r="ML124" s="13"/>
      <c r="MM124" s="14"/>
      <c r="MO124" s="65"/>
      <c r="MP124" s="13"/>
      <c r="MQ124" s="14"/>
      <c r="MS124" s="65"/>
      <c r="MT124" s="13"/>
      <c r="MU124" s="14"/>
    </row>
    <row r="125" spans="1:359" hidden="1" x14ac:dyDescent="0.25">
      <c r="A125" s="15">
        <f t="shared" si="171"/>
        <v>0</v>
      </c>
      <c r="B125" s="20">
        <v>42819</v>
      </c>
      <c r="D125" s="12">
        <v>51</v>
      </c>
      <c r="E125" s="12">
        <v>1142773.6140640324</v>
      </c>
      <c r="F125" s="14">
        <v>42549</v>
      </c>
      <c r="I125" s="12"/>
      <c r="J125" s="13"/>
      <c r="K125" s="14"/>
      <c r="N125" s="12"/>
      <c r="O125" s="13"/>
      <c r="P125" s="14"/>
      <c r="T125" s="15"/>
      <c r="U125" s="20"/>
      <c r="W125" s="12"/>
      <c r="X125" s="12"/>
      <c r="Y125" s="14"/>
      <c r="AB125" s="12"/>
      <c r="AC125" s="13"/>
      <c r="AD125" s="14"/>
      <c r="AG125" s="12"/>
      <c r="AH125" s="13"/>
      <c r="AI125" s="14"/>
      <c r="AK125" s="12"/>
      <c r="AL125" s="13"/>
      <c r="AM125" s="14"/>
      <c r="CK125" s="65"/>
      <c r="CL125" s="13"/>
      <c r="CO125" s="65"/>
      <c r="CP125" s="13"/>
      <c r="CS125" s="65"/>
      <c r="CT125" s="13"/>
      <c r="CW125" s="65"/>
      <c r="CX125" s="13"/>
      <c r="DA125" s="65"/>
      <c r="DB125" s="13"/>
      <c r="DE125" s="65"/>
      <c r="DF125" s="13"/>
      <c r="DI125" s="65"/>
      <c r="DJ125" s="13"/>
      <c r="DM125" s="65"/>
      <c r="DN125" s="13"/>
      <c r="DQ125" s="65"/>
      <c r="DR125" s="13"/>
      <c r="DU125" s="65"/>
      <c r="DV125" s="13"/>
      <c r="DY125" s="65"/>
      <c r="DZ125" s="13"/>
      <c r="EA125" s="14"/>
      <c r="EC125" s="65"/>
      <c r="ED125" s="13"/>
      <c r="EE125" s="14"/>
      <c r="EG125" s="65"/>
      <c r="EH125" s="13"/>
      <c r="EI125" s="14"/>
      <c r="EK125" s="65"/>
      <c r="EL125" s="13"/>
      <c r="EM125" s="14"/>
      <c r="EO125" s="65"/>
      <c r="EP125" s="13"/>
      <c r="EQ125" s="14"/>
      <c r="ES125" s="65"/>
      <c r="ET125" s="13"/>
      <c r="EU125" s="14"/>
      <c r="EW125" s="65"/>
      <c r="EX125" s="13"/>
      <c r="EY125" s="14"/>
      <c r="FA125" s="65"/>
      <c r="FB125" s="13"/>
      <c r="FC125" s="14"/>
      <c r="FE125" s="65"/>
      <c r="FF125" s="13"/>
      <c r="FG125" s="14"/>
      <c r="FI125" s="65"/>
      <c r="FJ125" s="13"/>
      <c r="FK125" s="14"/>
      <c r="FM125" s="65"/>
      <c r="FN125" s="13"/>
      <c r="FO125" s="14"/>
      <c r="FQ125" s="65"/>
      <c r="FR125" s="13"/>
      <c r="FS125" s="14"/>
      <c r="FU125" s="65"/>
      <c r="FV125" s="13"/>
      <c r="FW125" s="14"/>
      <c r="FY125" s="65"/>
      <c r="FZ125" s="13"/>
      <c r="GA125" s="14"/>
      <c r="GC125" s="65"/>
      <c r="GD125" s="13"/>
      <c r="GE125" s="14"/>
      <c r="GG125" s="65"/>
      <c r="GH125" s="13"/>
      <c r="GI125" s="14"/>
      <c r="GK125" s="65"/>
      <c r="GL125" s="13"/>
      <c r="GM125" s="14"/>
      <c r="GO125" s="65"/>
      <c r="GP125" s="13"/>
      <c r="GQ125" s="14"/>
      <c r="GS125" s="65"/>
      <c r="GT125" s="13"/>
      <c r="GU125" s="14"/>
      <c r="GW125" s="65"/>
      <c r="GX125" s="13"/>
      <c r="GY125" s="14"/>
      <c r="HA125" s="65"/>
      <c r="HB125" s="13"/>
      <c r="HC125" s="14"/>
      <c r="HE125" s="65"/>
      <c r="HF125" s="13"/>
      <c r="HG125" s="14"/>
      <c r="HI125" s="65"/>
      <c r="HJ125" s="13"/>
      <c r="HK125" s="14"/>
      <c r="HM125" s="65"/>
      <c r="HN125" s="13"/>
      <c r="HO125" s="14"/>
      <c r="HQ125" s="65"/>
      <c r="HR125" s="13"/>
      <c r="HS125" s="14"/>
      <c r="HU125" s="65"/>
      <c r="HV125" s="13"/>
      <c r="HW125" s="14"/>
      <c r="HY125" s="65"/>
      <c r="HZ125" s="13"/>
      <c r="IA125" s="14"/>
      <c r="IC125" s="65"/>
      <c r="ID125" s="13"/>
      <c r="IE125" s="14"/>
      <c r="IG125" s="65"/>
      <c r="IH125" s="13"/>
      <c r="II125" s="14"/>
      <c r="IK125" s="65"/>
      <c r="IL125" s="13"/>
      <c r="IM125" s="14"/>
      <c r="IO125" s="65"/>
      <c r="IP125" s="13"/>
      <c r="IQ125" s="14"/>
      <c r="IS125" s="65"/>
      <c r="IT125" s="13"/>
      <c r="IU125" s="14"/>
      <c r="IW125" s="65"/>
      <c r="IX125" s="13"/>
      <c r="IY125" s="14"/>
      <c r="JA125" s="65"/>
      <c r="JB125" s="13"/>
      <c r="JC125" s="14"/>
      <c r="JE125" s="65"/>
      <c r="JF125" s="13"/>
      <c r="JG125" s="14"/>
      <c r="JI125" s="65"/>
      <c r="JJ125" s="13"/>
      <c r="JK125" s="14"/>
      <c r="JM125" s="65"/>
      <c r="JN125" s="13"/>
      <c r="JO125" s="14"/>
      <c r="JQ125" s="65"/>
      <c r="JR125" s="13"/>
      <c r="JS125" s="14"/>
      <c r="JU125" s="65"/>
      <c r="JV125" s="13"/>
      <c r="JW125" s="14"/>
      <c r="JY125" s="65"/>
      <c r="JZ125" s="13"/>
      <c r="KA125" s="14"/>
      <c r="KC125" s="65"/>
      <c r="KD125" s="13"/>
      <c r="KE125" s="14"/>
      <c r="KG125" s="65"/>
      <c r="KH125" s="13"/>
      <c r="KI125" s="14"/>
      <c r="KK125" s="65"/>
      <c r="KL125" s="13"/>
      <c r="KM125" s="14"/>
      <c r="KO125" s="65"/>
      <c r="KP125" s="13"/>
      <c r="KQ125" s="14"/>
      <c r="KS125" s="65"/>
      <c r="KT125" s="13"/>
      <c r="KU125" s="14"/>
      <c r="KW125" s="65"/>
      <c r="KX125" s="13"/>
      <c r="KY125" s="14"/>
      <c r="LA125" s="65"/>
      <c r="LB125" s="13"/>
      <c r="LC125" s="14"/>
      <c r="LE125" s="65"/>
      <c r="LF125" s="13"/>
      <c r="LG125" s="14"/>
      <c r="LI125" s="65"/>
      <c r="LJ125" s="13"/>
      <c r="LK125" s="14"/>
      <c r="LM125" s="65"/>
      <c r="LN125" s="13"/>
      <c r="LO125" s="14"/>
      <c r="LQ125" s="65"/>
      <c r="LR125" s="13"/>
      <c r="LS125" s="14"/>
      <c r="LU125" s="65"/>
      <c r="LV125" s="13"/>
      <c r="LW125" s="14"/>
      <c r="LY125" s="65"/>
      <c r="LZ125" s="13"/>
      <c r="MA125" s="14"/>
      <c r="MC125" s="65"/>
      <c r="MD125" s="13"/>
      <c r="ME125" s="14"/>
      <c r="MG125" s="65"/>
      <c r="MH125" s="13"/>
      <c r="MI125" s="14"/>
      <c r="MK125" s="65"/>
      <c r="ML125" s="13"/>
      <c r="MM125" s="14"/>
      <c r="MO125" s="65"/>
      <c r="MP125" s="13"/>
      <c r="MQ125" s="14"/>
      <c r="MS125" s="65"/>
      <c r="MT125" s="13"/>
      <c r="MU125" s="14"/>
    </row>
    <row r="126" spans="1:359" hidden="1" x14ac:dyDescent="0.25">
      <c r="A126" s="15">
        <f t="shared" si="171"/>
        <v>0</v>
      </c>
      <c r="B126" s="20">
        <v>42820</v>
      </c>
      <c r="D126" s="12">
        <v>50</v>
      </c>
      <c r="E126" s="12">
        <v>1142800.8589193481</v>
      </c>
      <c r="F126" s="14">
        <v>42550</v>
      </c>
      <c r="I126" s="12"/>
      <c r="J126" s="13"/>
      <c r="K126" s="14"/>
      <c r="N126" s="12"/>
      <c r="O126" s="13"/>
      <c r="P126" s="14"/>
      <c r="T126" s="15"/>
      <c r="U126" s="20"/>
      <c r="W126" s="12"/>
      <c r="X126" s="12"/>
      <c r="Y126" s="14"/>
      <c r="AB126" s="12"/>
      <c r="AC126" s="13"/>
      <c r="AD126" s="14"/>
      <c r="AG126" s="12"/>
      <c r="AH126" s="13"/>
      <c r="AI126" s="14"/>
      <c r="AK126" s="12"/>
      <c r="AL126" s="13"/>
      <c r="AM126" s="14"/>
      <c r="CK126" s="65"/>
      <c r="CL126" s="13"/>
      <c r="CO126" s="65"/>
      <c r="CP126" s="13"/>
      <c r="CS126" s="65"/>
      <c r="CT126" s="13"/>
      <c r="CW126" s="65"/>
      <c r="CX126" s="13"/>
      <c r="DA126" s="65"/>
      <c r="DB126" s="13"/>
      <c r="DE126" s="65"/>
      <c r="DF126" s="13"/>
      <c r="DI126" s="65"/>
      <c r="DJ126" s="13"/>
      <c r="DM126" s="65"/>
      <c r="DN126" s="13"/>
      <c r="DQ126" s="65"/>
      <c r="DR126" s="13"/>
      <c r="DU126" s="65"/>
      <c r="DV126" s="13"/>
      <c r="DY126" s="65"/>
      <c r="DZ126" s="13"/>
      <c r="EA126" s="14"/>
      <c r="EC126" s="65"/>
      <c r="ED126" s="13"/>
      <c r="EE126" s="14"/>
      <c r="EG126" s="65"/>
      <c r="EH126" s="13"/>
      <c r="EI126" s="14"/>
      <c r="EK126" s="65"/>
      <c r="EL126" s="13"/>
      <c r="EM126" s="14"/>
      <c r="EO126" s="65"/>
      <c r="EP126" s="13"/>
      <c r="EQ126" s="14"/>
      <c r="ES126" s="65"/>
      <c r="ET126" s="13"/>
      <c r="EU126" s="14"/>
      <c r="EW126" s="65"/>
      <c r="EX126" s="13"/>
      <c r="EY126" s="14"/>
      <c r="FA126" s="65"/>
      <c r="FB126" s="13"/>
      <c r="FC126" s="14"/>
      <c r="FE126" s="65"/>
      <c r="FF126" s="13"/>
      <c r="FG126" s="14"/>
      <c r="FI126" s="65"/>
      <c r="FJ126" s="13"/>
      <c r="FK126" s="14"/>
      <c r="FM126" s="65"/>
      <c r="FN126" s="13"/>
      <c r="FO126" s="14"/>
      <c r="FQ126" s="65"/>
      <c r="FR126" s="13"/>
      <c r="FS126" s="14"/>
      <c r="FU126" s="65"/>
      <c r="FV126" s="13"/>
      <c r="FW126" s="14"/>
      <c r="FY126" s="65"/>
      <c r="FZ126" s="13"/>
      <c r="GA126" s="14"/>
      <c r="GC126" s="65"/>
      <c r="GD126" s="13"/>
      <c r="GE126" s="14"/>
      <c r="GG126" s="65"/>
      <c r="GH126" s="13"/>
      <c r="GI126" s="14"/>
      <c r="GK126" s="65"/>
      <c r="GL126" s="13"/>
      <c r="GM126" s="14"/>
      <c r="GO126" s="65"/>
      <c r="GP126" s="13"/>
      <c r="GQ126" s="14"/>
      <c r="GS126" s="65"/>
      <c r="GT126" s="13"/>
      <c r="GU126" s="14"/>
      <c r="GW126" s="65"/>
      <c r="GX126" s="13"/>
      <c r="GY126" s="14"/>
      <c r="HA126" s="65"/>
      <c r="HB126" s="13"/>
      <c r="HC126" s="14"/>
      <c r="HE126" s="65"/>
      <c r="HF126" s="13"/>
      <c r="HG126" s="14"/>
      <c r="HI126" s="65"/>
      <c r="HJ126" s="13"/>
      <c r="HK126" s="14"/>
      <c r="HM126" s="65"/>
      <c r="HN126" s="13"/>
      <c r="HO126" s="14"/>
      <c r="HQ126" s="65"/>
      <c r="HR126" s="13"/>
      <c r="HS126" s="14"/>
      <c r="HU126" s="65"/>
      <c r="HV126" s="13"/>
      <c r="HW126" s="14"/>
      <c r="HY126" s="65"/>
      <c r="HZ126" s="13"/>
      <c r="IA126" s="14"/>
      <c r="IC126" s="65"/>
      <c r="ID126" s="13"/>
      <c r="IE126" s="14"/>
      <c r="IG126" s="65"/>
      <c r="IH126" s="13"/>
      <c r="II126" s="14"/>
      <c r="IK126" s="65"/>
      <c r="IL126" s="13"/>
      <c r="IM126" s="14"/>
      <c r="IO126" s="65"/>
      <c r="IP126" s="13"/>
      <c r="IQ126" s="14"/>
      <c r="IS126" s="65"/>
      <c r="IT126" s="13"/>
      <c r="IU126" s="14"/>
      <c r="IW126" s="65"/>
      <c r="IX126" s="13"/>
      <c r="IY126" s="14"/>
      <c r="JA126" s="65"/>
      <c r="JB126" s="13"/>
      <c r="JC126" s="14"/>
      <c r="JE126" s="65"/>
      <c r="JF126" s="13"/>
      <c r="JG126" s="14"/>
      <c r="JI126" s="65"/>
      <c r="JJ126" s="13"/>
      <c r="JK126" s="14"/>
      <c r="JM126" s="65"/>
      <c r="JN126" s="13"/>
      <c r="JO126" s="14"/>
      <c r="JQ126" s="65"/>
      <c r="JR126" s="13"/>
      <c r="JS126" s="14"/>
      <c r="JU126" s="65"/>
      <c r="JV126" s="13"/>
      <c r="JW126" s="14"/>
      <c r="JY126" s="65"/>
      <c r="JZ126" s="13"/>
      <c r="KA126" s="14"/>
      <c r="KC126" s="65"/>
      <c r="KD126" s="13"/>
      <c r="KE126" s="14"/>
      <c r="KG126" s="65"/>
      <c r="KH126" s="13"/>
      <c r="KI126" s="14"/>
      <c r="KK126" s="65"/>
      <c r="KL126" s="13"/>
      <c r="KM126" s="14"/>
      <c r="KO126" s="65"/>
      <c r="KP126" s="13"/>
      <c r="KQ126" s="14"/>
      <c r="KS126" s="65"/>
      <c r="KT126" s="13"/>
      <c r="KU126" s="14"/>
      <c r="KW126" s="65"/>
      <c r="KX126" s="13"/>
      <c r="KY126" s="14"/>
      <c r="LA126" s="65"/>
      <c r="LB126" s="13"/>
      <c r="LC126" s="14"/>
      <c r="LE126" s="65"/>
      <c r="LF126" s="13"/>
      <c r="LG126" s="14"/>
      <c r="LI126" s="65"/>
      <c r="LJ126" s="13"/>
      <c r="LK126" s="14"/>
      <c r="LM126" s="65"/>
      <c r="LN126" s="13"/>
      <c r="LO126" s="14"/>
      <c r="LQ126" s="65"/>
      <c r="LR126" s="13"/>
      <c r="LS126" s="14"/>
      <c r="LU126" s="65"/>
      <c r="LV126" s="13"/>
      <c r="LW126" s="14"/>
      <c r="LY126" s="65"/>
      <c r="LZ126" s="13"/>
      <c r="MA126" s="14"/>
      <c r="MC126" s="65"/>
      <c r="MD126" s="13"/>
      <c r="ME126" s="14"/>
      <c r="MG126" s="65"/>
      <c r="MH126" s="13"/>
      <c r="MI126" s="14"/>
      <c r="MK126" s="65"/>
      <c r="ML126" s="13"/>
      <c r="MM126" s="14"/>
      <c r="MO126" s="65"/>
      <c r="MP126" s="13"/>
      <c r="MQ126" s="14"/>
      <c r="MS126" s="65"/>
      <c r="MT126" s="13"/>
      <c r="MU126" s="14"/>
    </row>
    <row r="127" spans="1:359" hidden="1" x14ac:dyDescent="0.25">
      <c r="A127" s="15">
        <f t="shared" si="171"/>
        <v>0</v>
      </c>
      <c r="B127" s="20">
        <v>42821</v>
      </c>
      <c r="D127" s="12">
        <v>49</v>
      </c>
      <c r="E127" s="12">
        <v>1142828.1050737833</v>
      </c>
      <c r="F127" s="14">
        <v>42551</v>
      </c>
      <c r="I127" s="12"/>
      <c r="J127" s="13"/>
      <c r="K127" s="14"/>
      <c r="N127" s="12"/>
      <c r="O127" s="13"/>
      <c r="P127" s="14"/>
      <c r="T127" s="15"/>
      <c r="U127" s="20"/>
      <c r="W127" s="12"/>
      <c r="X127" s="12"/>
      <c r="Y127" s="14"/>
      <c r="AB127" s="12"/>
      <c r="AC127" s="13"/>
      <c r="AD127" s="14"/>
      <c r="AG127" s="12"/>
      <c r="AH127" s="13"/>
      <c r="AI127" s="14"/>
      <c r="AK127" s="12"/>
      <c r="AL127" s="13"/>
      <c r="AM127" s="14"/>
      <c r="CK127" s="65"/>
      <c r="CL127" s="13"/>
      <c r="CO127" s="65"/>
      <c r="CP127" s="13"/>
      <c r="CS127" s="65"/>
      <c r="CT127" s="13"/>
      <c r="CW127" s="65"/>
      <c r="CX127" s="13"/>
      <c r="DA127" s="65"/>
      <c r="DB127" s="13"/>
      <c r="DE127" s="65"/>
      <c r="DF127" s="13"/>
      <c r="DI127" s="65"/>
      <c r="DJ127" s="13"/>
      <c r="DM127" s="65"/>
      <c r="DN127" s="13"/>
      <c r="DQ127" s="65"/>
      <c r="DR127" s="13"/>
      <c r="DU127" s="65"/>
      <c r="DV127" s="13"/>
      <c r="DY127" s="65"/>
      <c r="DZ127" s="13"/>
      <c r="EA127" s="14"/>
      <c r="EC127" s="65"/>
      <c r="ED127" s="13"/>
      <c r="EE127" s="14"/>
      <c r="EG127" s="65"/>
      <c r="EH127" s="13"/>
      <c r="EI127" s="14"/>
      <c r="EK127" s="65"/>
      <c r="EL127" s="13"/>
      <c r="EM127" s="14"/>
      <c r="EO127" s="65"/>
      <c r="EP127" s="13"/>
      <c r="EQ127" s="14"/>
      <c r="ES127" s="65"/>
      <c r="ET127" s="13"/>
      <c r="EU127" s="14"/>
      <c r="EW127" s="65"/>
      <c r="EX127" s="13"/>
      <c r="EY127" s="14"/>
      <c r="FA127" s="65"/>
      <c r="FB127" s="13"/>
      <c r="FC127" s="14"/>
      <c r="FE127" s="65"/>
      <c r="FF127" s="13"/>
      <c r="FG127" s="14"/>
      <c r="FI127" s="65"/>
      <c r="FJ127" s="13"/>
      <c r="FK127" s="14"/>
      <c r="FM127" s="65"/>
      <c r="FN127" s="13"/>
      <c r="FO127" s="14"/>
      <c r="FQ127" s="65"/>
      <c r="FR127" s="13"/>
      <c r="FS127" s="14"/>
      <c r="FU127" s="65"/>
      <c r="FV127" s="13"/>
      <c r="FW127" s="14"/>
      <c r="FY127" s="65"/>
      <c r="FZ127" s="13"/>
      <c r="GA127" s="14"/>
      <c r="GC127" s="65"/>
      <c r="GD127" s="13"/>
      <c r="GE127" s="14"/>
      <c r="GG127" s="65"/>
      <c r="GH127" s="13"/>
      <c r="GI127" s="14"/>
      <c r="GK127" s="65"/>
      <c r="GL127" s="13"/>
      <c r="GM127" s="14"/>
      <c r="GO127" s="65"/>
      <c r="GP127" s="13"/>
      <c r="GQ127" s="14"/>
      <c r="GS127" s="65"/>
      <c r="GT127" s="13"/>
      <c r="GU127" s="14"/>
      <c r="GW127" s="65"/>
      <c r="GX127" s="13"/>
      <c r="GY127" s="14"/>
      <c r="HA127" s="65"/>
      <c r="HB127" s="13"/>
      <c r="HC127" s="14"/>
      <c r="HE127" s="65"/>
      <c r="HF127" s="13"/>
      <c r="HG127" s="14"/>
      <c r="HI127" s="65"/>
      <c r="HJ127" s="13"/>
      <c r="HK127" s="14"/>
      <c r="HM127" s="65"/>
      <c r="HN127" s="13"/>
      <c r="HO127" s="14"/>
      <c r="HQ127" s="65"/>
      <c r="HR127" s="13"/>
      <c r="HS127" s="14"/>
      <c r="HU127" s="65"/>
      <c r="HV127" s="13"/>
      <c r="HW127" s="14"/>
      <c r="HY127" s="65"/>
      <c r="HZ127" s="13"/>
      <c r="IA127" s="14"/>
      <c r="IC127" s="65"/>
      <c r="ID127" s="13"/>
      <c r="IE127" s="14"/>
      <c r="IG127" s="65"/>
      <c r="IH127" s="13"/>
      <c r="II127" s="14"/>
      <c r="IK127" s="65"/>
      <c r="IL127" s="13"/>
      <c r="IM127" s="14"/>
      <c r="IO127" s="65"/>
      <c r="IP127" s="13"/>
      <c r="IQ127" s="14"/>
      <c r="IS127" s="65"/>
      <c r="IT127" s="13"/>
      <c r="IU127" s="14"/>
      <c r="IW127" s="65"/>
      <c r="IX127" s="13"/>
      <c r="IY127" s="14"/>
      <c r="JA127" s="65"/>
      <c r="JB127" s="13"/>
      <c r="JC127" s="14"/>
      <c r="JE127" s="65"/>
      <c r="JF127" s="13"/>
      <c r="JG127" s="14"/>
      <c r="JI127" s="65"/>
      <c r="JJ127" s="13"/>
      <c r="JK127" s="14"/>
      <c r="JM127" s="65"/>
      <c r="JN127" s="13"/>
      <c r="JO127" s="14"/>
      <c r="JQ127" s="65"/>
      <c r="JR127" s="13"/>
      <c r="JS127" s="14"/>
      <c r="JU127" s="65"/>
      <c r="JV127" s="13"/>
      <c r="JW127" s="14"/>
      <c r="JY127" s="65"/>
      <c r="JZ127" s="13"/>
      <c r="KA127" s="14"/>
      <c r="KC127" s="65"/>
      <c r="KD127" s="13"/>
      <c r="KE127" s="14"/>
      <c r="KG127" s="65"/>
      <c r="KH127" s="13"/>
      <c r="KI127" s="14"/>
      <c r="KK127" s="65"/>
      <c r="KL127" s="13"/>
      <c r="KM127" s="14"/>
      <c r="KO127" s="65"/>
      <c r="KP127" s="13"/>
      <c r="KQ127" s="14"/>
      <c r="KS127" s="65"/>
      <c r="KT127" s="13"/>
      <c r="KU127" s="14"/>
      <c r="KW127" s="65"/>
      <c r="KX127" s="13"/>
      <c r="KY127" s="14"/>
      <c r="LA127" s="65"/>
      <c r="LB127" s="13"/>
      <c r="LC127" s="14"/>
      <c r="LE127" s="65"/>
      <c r="LF127" s="13"/>
      <c r="LG127" s="14"/>
      <c r="LI127" s="65"/>
      <c r="LJ127" s="13"/>
      <c r="LK127" s="14"/>
      <c r="LM127" s="65"/>
      <c r="LN127" s="13"/>
      <c r="LO127" s="14"/>
      <c r="LQ127" s="65"/>
      <c r="LR127" s="13"/>
      <c r="LS127" s="14"/>
      <c r="LU127" s="65"/>
      <c r="LV127" s="13"/>
      <c r="LW127" s="14"/>
      <c r="LY127" s="65"/>
      <c r="LZ127" s="13"/>
      <c r="MA127" s="14"/>
      <c r="MC127" s="65"/>
      <c r="MD127" s="13"/>
      <c r="ME127" s="14"/>
      <c r="MG127" s="65"/>
      <c r="MH127" s="13"/>
      <c r="MI127" s="14"/>
      <c r="MK127" s="65"/>
      <c r="ML127" s="13"/>
      <c r="MM127" s="14"/>
      <c r="MO127" s="65"/>
      <c r="MP127" s="13"/>
      <c r="MQ127" s="14"/>
      <c r="MS127" s="65"/>
      <c r="MT127" s="13"/>
      <c r="MU127" s="14"/>
    </row>
    <row r="128" spans="1:359" hidden="1" x14ac:dyDescent="0.25">
      <c r="A128" s="15">
        <f t="shared" si="171"/>
        <v>0</v>
      </c>
      <c r="B128" s="20">
        <v>42822</v>
      </c>
      <c r="D128" s="12">
        <v>48</v>
      </c>
      <c r="E128" s="12">
        <v>1142855.352527431</v>
      </c>
      <c r="F128" s="14">
        <v>42552</v>
      </c>
      <c r="I128" s="12"/>
      <c r="J128" s="13"/>
      <c r="K128" s="14"/>
      <c r="N128" s="12"/>
      <c r="O128" s="13"/>
      <c r="P128" s="14"/>
      <c r="T128" s="15"/>
      <c r="U128" s="20"/>
      <c r="W128" s="12"/>
      <c r="X128" s="12"/>
      <c r="Y128" s="14"/>
      <c r="AB128" s="12"/>
      <c r="AC128" s="13"/>
      <c r="AD128" s="14"/>
      <c r="AG128" s="12"/>
      <c r="AH128" s="13"/>
      <c r="AI128" s="14"/>
      <c r="AK128" s="12"/>
      <c r="AL128" s="13"/>
      <c r="AM128" s="14"/>
      <c r="CK128" s="65"/>
      <c r="CL128" s="13"/>
      <c r="CO128" s="65"/>
      <c r="CP128" s="13"/>
      <c r="CS128" s="65"/>
      <c r="CT128" s="13"/>
      <c r="CW128" s="65"/>
      <c r="CX128" s="13"/>
      <c r="DA128" s="65"/>
      <c r="DB128" s="13"/>
      <c r="DE128" s="65"/>
      <c r="DF128" s="13"/>
      <c r="DI128" s="65"/>
      <c r="DJ128" s="13"/>
      <c r="DM128" s="65"/>
      <c r="DN128" s="13"/>
      <c r="DQ128" s="65"/>
      <c r="DR128" s="13"/>
      <c r="DU128" s="65"/>
      <c r="DV128" s="13"/>
      <c r="DY128" s="65"/>
      <c r="DZ128" s="13"/>
      <c r="EA128" s="14"/>
      <c r="EC128" s="65"/>
      <c r="ED128" s="13"/>
      <c r="EE128" s="14"/>
      <c r="EG128" s="65"/>
      <c r="EH128" s="13"/>
      <c r="EI128" s="14"/>
      <c r="EK128" s="65"/>
      <c r="EL128" s="13"/>
      <c r="EM128" s="14"/>
      <c r="EO128" s="65"/>
      <c r="EP128" s="13"/>
      <c r="EQ128" s="14"/>
      <c r="ES128" s="65"/>
      <c r="ET128" s="13"/>
      <c r="EU128" s="14"/>
      <c r="EW128" s="65"/>
      <c r="EX128" s="13"/>
      <c r="EY128" s="14"/>
      <c r="FA128" s="65"/>
      <c r="FB128" s="13"/>
      <c r="FC128" s="14"/>
      <c r="FE128" s="65"/>
      <c r="FF128" s="13"/>
      <c r="FG128" s="14"/>
      <c r="FI128" s="65"/>
      <c r="FJ128" s="13"/>
      <c r="FK128" s="14"/>
      <c r="FM128" s="65"/>
      <c r="FN128" s="13"/>
      <c r="FO128" s="14"/>
      <c r="FQ128" s="65"/>
      <c r="FR128" s="13"/>
      <c r="FS128" s="14"/>
      <c r="FU128" s="65"/>
      <c r="FV128" s="13"/>
      <c r="FW128" s="14"/>
      <c r="FY128" s="65"/>
      <c r="FZ128" s="13"/>
      <c r="GA128" s="14"/>
      <c r="GC128" s="65"/>
      <c r="GD128" s="13"/>
      <c r="GE128" s="14"/>
      <c r="GG128" s="65"/>
      <c r="GH128" s="13"/>
      <c r="GI128" s="14"/>
      <c r="GK128" s="65"/>
      <c r="GL128" s="13"/>
      <c r="GM128" s="14"/>
      <c r="GO128" s="65"/>
      <c r="GP128" s="13"/>
      <c r="GQ128" s="14"/>
      <c r="GS128" s="65"/>
      <c r="GT128" s="13"/>
      <c r="GU128" s="14"/>
      <c r="GW128" s="65"/>
      <c r="GX128" s="13"/>
      <c r="GY128" s="14"/>
      <c r="HA128" s="65"/>
      <c r="HB128" s="13"/>
      <c r="HC128" s="14"/>
      <c r="HE128" s="65"/>
      <c r="HF128" s="13"/>
      <c r="HG128" s="14"/>
      <c r="HI128" s="65"/>
      <c r="HJ128" s="13"/>
      <c r="HK128" s="14"/>
      <c r="HM128" s="65"/>
      <c r="HN128" s="13"/>
      <c r="HO128" s="14"/>
      <c r="HQ128" s="65"/>
      <c r="HR128" s="13"/>
      <c r="HS128" s="14"/>
      <c r="HU128" s="65"/>
      <c r="HV128" s="13"/>
      <c r="HW128" s="14"/>
      <c r="HY128" s="65"/>
      <c r="HZ128" s="13"/>
      <c r="IA128" s="14"/>
      <c r="IC128" s="65"/>
      <c r="ID128" s="13"/>
      <c r="IE128" s="14"/>
      <c r="IG128" s="65"/>
      <c r="IH128" s="13"/>
      <c r="II128" s="14"/>
      <c r="IK128" s="65"/>
      <c r="IL128" s="13"/>
      <c r="IM128" s="14"/>
      <c r="IO128" s="65"/>
      <c r="IP128" s="13"/>
      <c r="IQ128" s="14"/>
      <c r="IS128" s="65"/>
      <c r="IT128" s="13"/>
      <c r="IU128" s="14"/>
      <c r="IW128" s="65"/>
      <c r="IX128" s="13"/>
      <c r="IY128" s="14"/>
      <c r="JA128" s="65"/>
      <c r="JB128" s="13"/>
      <c r="JC128" s="14"/>
      <c r="JE128" s="65"/>
      <c r="JF128" s="13"/>
      <c r="JG128" s="14"/>
      <c r="JI128" s="65"/>
      <c r="JJ128" s="13"/>
      <c r="JK128" s="14"/>
      <c r="JM128" s="65"/>
      <c r="JN128" s="13"/>
      <c r="JO128" s="14"/>
      <c r="JQ128" s="65"/>
      <c r="JR128" s="13"/>
      <c r="JS128" s="14"/>
      <c r="JU128" s="65"/>
      <c r="JV128" s="13"/>
      <c r="JW128" s="14"/>
      <c r="JY128" s="65"/>
      <c r="JZ128" s="13"/>
      <c r="KA128" s="14"/>
      <c r="KC128" s="65"/>
      <c r="KD128" s="13"/>
      <c r="KE128" s="14"/>
      <c r="KG128" s="65"/>
      <c r="KH128" s="13"/>
      <c r="KI128" s="14"/>
      <c r="KK128" s="65"/>
      <c r="KL128" s="13"/>
      <c r="KM128" s="14"/>
      <c r="KO128" s="65"/>
      <c r="KP128" s="13"/>
      <c r="KQ128" s="14"/>
      <c r="KS128" s="65"/>
      <c r="KT128" s="13"/>
      <c r="KU128" s="14"/>
      <c r="KW128" s="65"/>
      <c r="KX128" s="13"/>
      <c r="KY128" s="14"/>
      <c r="LA128" s="65"/>
      <c r="LB128" s="13"/>
      <c r="LC128" s="14"/>
      <c r="LE128" s="65"/>
      <c r="LF128" s="13"/>
      <c r="LG128" s="14"/>
      <c r="LI128" s="65"/>
      <c r="LJ128" s="13"/>
      <c r="LK128" s="14"/>
      <c r="LM128" s="65"/>
      <c r="LN128" s="13"/>
      <c r="LO128" s="14"/>
      <c r="LQ128" s="65"/>
      <c r="LR128" s="13"/>
      <c r="LS128" s="14"/>
      <c r="LU128" s="65"/>
      <c r="LV128" s="13"/>
      <c r="LW128" s="14"/>
      <c r="LY128" s="65"/>
      <c r="LZ128" s="13"/>
      <c r="MA128" s="14"/>
      <c r="MC128" s="65"/>
      <c r="MD128" s="13"/>
      <c r="ME128" s="14"/>
      <c r="MG128" s="65"/>
      <c r="MH128" s="13"/>
      <c r="MI128" s="14"/>
      <c r="MK128" s="65"/>
      <c r="ML128" s="13"/>
      <c r="MM128" s="14"/>
      <c r="MO128" s="65"/>
      <c r="MP128" s="13"/>
      <c r="MQ128" s="14"/>
      <c r="MS128" s="65"/>
      <c r="MT128" s="13"/>
      <c r="MU128" s="14"/>
    </row>
    <row r="129" spans="1:359" hidden="1" x14ac:dyDescent="0.25">
      <c r="A129" s="15">
        <f t="shared" si="171"/>
        <v>0</v>
      </c>
      <c r="B129" s="20">
        <v>42823</v>
      </c>
      <c r="D129" s="12">
        <v>47</v>
      </c>
      <c r="E129" s="12">
        <v>1142882.6012803842</v>
      </c>
      <c r="F129" s="14">
        <v>42553</v>
      </c>
      <c r="I129" s="12"/>
      <c r="J129" s="13"/>
      <c r="K129" s="14"/>
      <c r="N129" s="12"/>
      <c r="O129" s="13"/>
      <c r="P129" s="14"/>
      <c r="T129" s="15"/>
      <c r="U129" s="20"/>
      <c r="W129" s="12"/>
      <c r="X129" s="12"/>
      <c r="Y129" s="14"/>
      <c r="AB129" s="12"/>
      <c r="AC129" s="13"/>
      <c r="AD129" s="14"/>
      <c r="AG129" s="12"/>
      <c r="AH129" s="13"/>
      <c r="AI129" s="14"/>
      <c r="AK129" s="12"/>
      <c r="AL129" s="13"/>
      <c r="AM129" s="14"/>
      <c r="CK129" s="65"/>
      <c r="CL129" s="13"/>
      <c r="CO129" s="65"/>
      <c r="CP129" s="13"/>
      <c r="CS129" s="65"/>
      <c r="CT129" s="13"/>
      <c r="CW129" s="65"/>
      <c r="CX129" s="13"/>
      <c r="DA129" s="65"/>
      <c r="DB129" s="13"/>
      <c r="DE129" s="65"/>
      <c r="DF129" s="13"/>
      <c r="DI129" s="65"/>
      <c r="DJ129" s="13"/>
      <c r="DM129" s="65"/>
      <c r="DN129" s="13"/>
      <c r="DQ129" s="65"/>
      <c r="DR129" s="13"/>
      <c r="DU129" s="65"/>
      <c r="DV129" s="13"/>
      <c r="DY129" s="65"/>
      <c r="DZ129" s="13"/>
      <c r="EA129" s="14"/>
      <c r="EC129" s="65"/>
      <c r="ED129" s="13"/>
      <c r="EE129" s="14"/>
      <c r="EG129" s="65"/>
      <c r="EH129" s="13"/>
      <c r="EI129" s="14"/>
      <c r="EK129" s="65"/>
      <c r="EL129" s="13"/>
      <c r="EM129" s="14"/>
      <c r="EO129" s="65"/>
      <c r="EP129" s="13"/>
      <c r="EQ129" s="14"/>
      <c r="ES129" s="65"/>
      <c r="ET129" s="13"/>
      <c r="EU129" s="14"/>
      <c r="EW129" s="65"/>
      <c r="EX129" s="13"/>
      <c r="EY129" s="14"/>
      <c r="FA129" s="65"/>
      <c r="FB129" s="13"/>
      <c r="FC129" s="14"/>
      <c r="FE129" s="65"/>
      <c r="FF129" s="13"/>
      <c r="FG129" s="14"/>
      <c r="FI129" s="65"/>
      <c r="FJ129" s="13"/>
      <c r="FK129" s="14"/>
      <c r="FM129" s="65"/>
      <c r="FN129" s="13"/>
      <c r="FO129" s="14"/>
      <c r="FQ129" s="65"/>
      <c r="FR129" s="13"/>
      <c r="FS129" s="14"/>
      <c r="FU129" s="65"/>
      <c r="FV129" s="13"/>
      <c r="FW129" s="14"/>
      <c r="FY129" s="65"/>
      <c r="FZ129" s="13"/>
      <c r="GA129" s="14"/>
      <c r="GC129" s="65"/>
      <c r="GD129" s="13"/>
      <c r="GE129" s="14"/>
      <c r="GG129" s="65"/>
      <c r="GH129" s="13"/>
      <c r="GI129" s="14"/>
      <c r="GK129" s="65"/>
      <c r="GL129" s="13"/>
      <c r="GM129" s="14"/>
      <c r="GO129" s="65"/>
      <c r="GP129" s="13"/>
      <c r="GQ129" s="14"/>
      <c r="GS129" s="65"/>
      <c r="GT129" s="13"/>
      <c r="GU129" s="14"/>
      <c r="GW129" s="65"/>
      <c r="GX129" s="13"/>
      <c r="GY129" s="14"/>
      <c r="HA129" s="65"/>
      <c r="HB129" s="13"/>
      <c r="HC129" s="14"/>
      <c r="HE129" s="65"/>
      <c r="HF129" s="13"/>
      <c r="HG129" s="14"/>
      <c r="HI129" s="65"/>
      <c r="HJ129" s="13"/>
      <c r="HK129" s="14"/>
      <c r="HM129" s="65"/>
      <c r="HN129" s="13"/>
      <c r="HO129" s="14"/>
      <c r="HQ129" s="65"/>
      <c r="HR129" s="13"/>
      <c r="HS129" s="14"/>
      <c r="HU129" s="65"/>
      <c r="HV129" s="13"/>
      <c r="HW129" s="14"/>
      <c r="HY129" s="65"/>
      <c r="HZ129" s="13"/>
      <c r="IA129" s="14"/>
      <c r="IC129" s="65"/>
      <c r="ID129" s="13"/>
      <c r="IE129" s="14"/>
      <c r="IG129" s="65"/>
      <c r="IH129" s="13"/>
      <c r="II129" s="14"/>
      <c r="IK129" s="65"/>
      <c r="IL129" s="13"/>
      <c r="IM129" s="14"/>
      <c r="IO129" s="65"/>
      <c r="IP129" s="13"/>
      <c r="IQ129" s="14"/>
      <c r="IS129" s="65"/>
      <c r="IT129" s="13"/>
      <c r="IU129" s="14"/>
      <c r="IW129" s="65"/>
      <c r="IX129" s="13"/>
      <c r="IY129" s="14"/>
      <c r="JA129" s="65"/>
      <c r="JB129" s="13"/>
      <c r="JC129" s="14"/>
      <c r="JE129" s="65"/>
      <c r="JF129" s="13"/>
      <c r="JG129" s="14"/>
      <c r="JI129" s="65"/>
      <c r="JJ129" s="13"/>
      <c r="JK129" s="14"/>
      <c r="JM129" s="65"/>
      <c r="JN129" s="13"/>
      <c r="JO129" s="14"/>
      <c r="JQ129" s="65"/>
      <c r="JR129" s="13"/>
      <c r="JS129" s="14"/>
      <c r="JU129" s="65"/>
      <c r="JV129" s="13"/>
      <c r="JW129" s="14"/>
      <c r="JY129" s="65"/>
      <c r="JZ129" s="13"/>
      <c r="KA129" s="14"/>
      <c r="KC129" s="65"/>
      <c r="KD129" s="13"/>
      <c r="KE129" s="14"/>
      <c r="KG129" s="65"/>
      <c r="KH129" s="13"/>
      <c r="KI129" s="14"/>
      <c r="KK129" s="65"/>
      <c r="KL129" s="13"/>
      <c r="KM129" s="14"/>
      <c r="KO129" s="65"/>
      <c r="KP129" s="13"/>
      <c r="KQ129" s="14"/>
      <c r="KS129" s="65"/>
      <c r="KT129" s="13"/>
      <c r="KU129" s="14"/>
      <c r="KW129" s="65"/>
      <c r="KX129" s="13"/>
      <c r="KY129" s="14"/>
      <c r="LA129" s="65"/>
      <c r="LB129" s="13"/>
      <c r="LC129" s="14"/>
      <c r="LE129" s="65"/>
      <c r="LF129" s="13"/>
      <c r="LG129" s="14"/>
      <c r="LI129" s="65"/>
      <c r="LJ129" s="13"/>
      <c r="LK129" s="14"/>
      <c r="LM129" s="65"/>
      <c r="LN129" s="13"/>
      <c r="LO129" s="14"/>
      <c r="LQ129" s="65"/>
      <c r="LR129" s="13"/>
      <c r="LS129" s="14"/>
      <c r="LU129" s="65"/>
      <c r="LV129" s="13"/>
      <c r="LW129" s="14"/>
      <c r="LY129" s="65"/>
      <c r="LZ129" s="13"/>
      <c r="MA129" s="14"/>
      <c r="MC129" s="65"/>
      <c r="MD129" s="13"/>
      <c r="ME129" s="14"/>
      <c r="MG129" s="65"/>
      <c r="MH129" s="13"/>
      <c r="MI129" s="14"/>
      <c r="MK129" s="65"/>
      <c r="ML129" s="13"/>
      <c r="MM129" s="14"/>
      <c r="MO129" s="65"/>
      <c r="MP129" s="13"/>
      <c r="MQ129" s="14"/>
      <c r="MS129" s="65"/>
      <c r="MT129" s="13"/>
      <c r="MU129" s="14"/>
    </row>
    <row r="130" spans="1:359" hidden="1" x14ac:dyDescent="0.25">
      <c r="A130" s="15">
        <f t="shared" si="171"/>
        <v>0</v>
      </c>
      <c r="B130" s="20">
        <v>42824</v>
      </c>
      <c r="D130" s="12">
        <v>46</v>
      </c>
      <c r="E130" s="12">
        <v>1142909.8513327357</v>
      </c>
      <c r="F130" s="14">
        <v>42554</v>
      </c>
      <c r="I130" s="12"/>
      <c r="J130" s="13"/>
      <c r="K130" s="14"/>
      <c r="N130" s="12"/>
      <c r="O130" s="13"/>
      <c r="P130" s="14"/>
      <c r="T130" s="15"/>
      <c r="U130" s="20"/>
      <c r="W130" s="12"/>
      <c r="X130" s="12"/>
      <c r="Y130" s="14"/>
      <c r="AB130" s="12"/>
      <c r="AC130" s="13"/>
      <c r="AD130" s="14"/>
      <c r="AG130" s="12"/>
      <c r="AH130" s="13"/>
      <c r="AI130" s="14"/>
      <c r="AK130" s="12"/>
      <c r="AL130" s="13"/>
      <c r="AM130" s="14"/>
      <c r="CK130" s="65"/>
      <c r="CL130" s="13"/>
      <c r="CO130" s="65"/>
      <c r="CP130" s="13"/>
      <c r="CS130" s="65"/>
      <c r="CT130" s="13"/>
      <c r="CW130" s="65"/>
      <c r="CX130" s="13"/>
      <c r="DA130" s="65"/>
      <c r="DB130" s="13"/>
      <c r="DE130" s="65"/>
      <c r="DF130" s="13"/>
      <c r="DI130" s="65"/>
      <c r="DJ130" s="13"/>
      <c r="DM130" s="65"/>
      <c r="DN130" s="13"/>
      <c r="DQ130" s="65"/>
      <c r="DR130" s="13"/>
      <c r="DU130" s="65"/>
      <c r="DV130" s="13"/>
      <c r="DY130" s="65"/>
      <c r="DZ130" s="13"/>
      <c r="EA130" s="14"/>
      <c r="EC130" s="65"/>
      <c r="ED130" s="13"/>
      <c r="EE130" s="14"/>
      <c r="EG130" s="65"/>
      <c r="EH130" s="13"/>
      <c r="EI130" s="14"/>
      <c r="EK130" s="65"/>
      <c r="EL130" s="13"/>
      <c r="EM130" s="14"/>
      <c r="EO130" s="65"/>
      <c r="EP130" s="13"/>
      <c r="EQ130" s="14"/>
      <c r="ES130" s="65"/>
      <c r="ET130" s="13"/>
      <c r="EU130" s="14"/>
      <c r="EW130" s="65"/>
      <c r="EX130" s="13"/>
      <c r="EY130" s="14"/>
      <c r="FA130" s="65"/>
      <c r="FB130" s="13"/>
      <c r="FC130" s="14"/>
      <c r="FE130" s="65"/>
      <c r="FF130" s="13"/>
      <c r="FG130" s="14"/>
      <c r="FI130" s="65"/>
      <c r="FJ130" s="13"/>
      <c r="FK130" s="14"/>
      <c r="FM130" s="65"/>
      <c r="FN130" s="13"/>
      <c r="FO130" s="14"/>
      <c r="FQ130" s="65"/>
      <c r="FR130" s="13"/>
      <c r="FS130" s="14"/>
      <c r="FU130" s="65"/>
      <c r="FV130" s="13"/>
      <c r="FW130" s="14"/>
      <c r="FY130" s="65"/>
      <c r="FZ130" s="13"/>
      <c r="GA130" s="14"/>
      <c r="GC130" s="65"/>
      <c r="GD130" s="13"/>
      <c r="GE130" s="14"/>
      <c r="GG130" s="65"/>
      <c r="GH130" s="13"/>
      <c r="GI130" s="14"/>
      <c r="GK130" s="65"/>
      <c r="GL130" s="13"/>
      <c r="GM130" s="14"/>
      <c r="GO130" s="65"/>
      <c r="GP130" s="13"/>
      <c r="GQ130" s="14"/>
      <c r="GS130" s="65"/>
      <c r="GT130" s="13"/>
      <c r="GU130" s="14"/>
      <c r="GW130" s="65"/>
      <c r="GX130" s="13"/>
      <c r="GY130" s="14"/>
      <c r="HA130" s="65"/>
      <c r="HB130" s="13"/>
      <c r="HC130" s="14"/>
      <c r="HE130" s="65"/>
      <c r="HF130" s="13"/>
      <c r="HG130" s="14"/>
      <c r="HI130" s="65"/>
      <c r="HJ130" s="13"/>
      <c r="HK130" s="14"/>
      <c r="HM130" s="65"/>
      <c r="HN130" s="13"/>
      <c r="HO130" s="14"/>
      <c r="HQ130" s="65"/>
      <c r="HR130" s="13"/>
      <c r="HS130" s="14"/>
      <c r="HU130" s="65"/>
      <c r="HV130" s="13"/>
      <c r="HW130" s="14"/>
      <c r="HY130" s="65"/>
      <c r="HZ130" s="13"/>
      <c r="IA130" s="14"/>
      <c r="IC130" s="65"/>
      <c r="ID130" s="13"/>
      <c r="IE130" s="14"/>
      <c r="IG130" s="65"/>
      <c r="IH130" s="13"/>
      <c r="II130" s="14"/>
      <c r="IK130" s="65"/>
      <c r="IL130" s="13"/>
      <c r="IM130" s="14"/>
      <c r="IO130" s="65"/>
      <c r="IP130" s="13"/>
      <c r="IQ130" s="14"/>
      <c r="IS130" s="65"/>
      <c r="IT130" s="13"/>
      <c r="IU130" s="14"/>
      <c r="IW130" s="65"/>
      <c r="IX130" s="13"/>
      <c r="IY130" s="14"/>
      <c r="JA130" s="65"/>
      <c r="JB130" s="13"/>
      <c r="JC130" s="14"/>
      <c r="JE130" s="65"/>
      <c r="JF130" s="13"/>
      <c r="JG130" s="14"/>
      <c r="JI130" s="65"/>
      <c r="JJ130" s="13"/>
      <c r="JK130" s="14"/>
      <c r="JM130" s="65"/>
      <c r="JN130" s="13"/>
      <c r="JO130" s="14"/>
      <c r="JQ130" s="65"/>
      <c r="JR130" s="13"/>
      <c r="JS130" s="14"/>
      <c r="JU130" s="65"/>
      <c r="JV130" s="13"/>
      <c r="JW130" s="14"/>
      <c r="JY130" s="65"/>
      <c r="JZ130" s="13"/>
      <c r="KA130" s="14"/>
      <c r="KC130" s="65"/>
      <c r="KD130" s="13"/>
      <c r="KE130" s="14"/>
      <c r="KG130" s="65"/>
      <c r="KH130" s="13"/>
      <c r="KI130" s="14"/>
      <c r="KK130" s="65"/>
      <c r="KL130" s="13"/>
      <c r="KM130" s="14"/>
      <c r="KO130" s="65"/>
      <c r="KP130" s="13"/>
      <c r="KQ130" s="14"/>
      <c r="KS130" s="65"/>
      <c r="KT130" s="13"/>
      <c r="KU130" s="14"/>
      <c r="KW130" s="65"/>
      <c r="KX130" s="13"/>
      <c r="KY130" s="14"/>
      <c r="LA130" s="65"/>
      <c r="LB130" s="13"/>
      <c r="LC130" s="14"/>
      <c r="LE130" s="65"/>
      <c r="LF130" s="13"/>
      <c r="LG130" s="14"/>
      <c r="LI130" s="65"/>
      <c r="LJ130" s="13"/>
      <c r="LK130" s="14"/>
      <c r="LM130" s="65"/>
      <c r="LN130" s="13"/>
      <c r="LO130" s="14"/>
      <c r="LQ130" s="65"/>
      <c r="LR130" s="13"/>
      <c r="LS130" s="14"/>
      <c r="LU130" s="65"/>
      <c r="LV130" s="13"/>
      <c r="LW130" s="14"/>
      <c r="LY130" s="65"/>
      <c r="LZ130" s="13"/>
      <c r="MA130" s="14"/>
      <c r="MC130" s="65"/>
      <c r="MD130" s="13"/>
      <c r="ME130" s="14"/>
      <c r="MG130" s="65"/>
      <c r="MH130" s="13"/>
      <c r="MI130" s="14"/>
      <c r="MK130" s="65"/>
      <c r="ML130" s="13"/>
      <c r="MM130" s="14"/>
      <c r="MO130" s="65"/>
      <c r="MP130" s="13"/>
      <c r="MQ130" s="14"/>
      <c r="MS130" s="65"/>
      <c r="MT130" s="13"/>
      <c r="MU130" s="14"/>
    </row>
    <row r="131" spans="1:359" hidden="1" x14ac:dyDescent="0.25">
      <c r="A131" s="15">
        <f t="shared" si="171"/>
        <v>0</v>
      </c>
      <c r="B131" s="20">
        <v>42825</v>
      </c>
      <c r="D131" s="12">
        <v>45</v>
      </c>
      <c r="E131" s="12">
        <v>1142937.1026845791</v>
      </c>
      <c r="F131" s="14">
        <v>42555</v>
      </c>
      <c r="I131" s="12"/>
      <c r="J131" s="13"/>
      <c r="K131" s="14"/>
      <c r="N131" s="12"/>
      <c r="O131" s="13"/>
      <c r="P131" s="14"/>
      <c r="T131" s="15"/>
      <c r="U131" s="20"/>
      <c r="W131" s="12"/>
      <c r="X131" s="12"/>
      <c r="Y131" s="14"/>
      <c r="AB131" s="12"/>
      <c r="AC131" s="13"/>
      <c r="AD131" s="14"/>
      <c r="AG131" s="12"/>
      <c r="AH131" s="13"/>
      <c r="AI131" s="14"/>
      <c r="AK131" s="12"/>
      <c r="AL131" s="13"/>
      <c r="AM131" s="14"/>
      <c r="CK131" s="65"/>
      <c r="CL131" s="13"/>
      <c r="CO131" s="65"/>
      <c r="CP131" s="13"/>
      <c r="CS131" s="65"/>
      <c r="CT131" s="13"/>
      <c r="CW131" s="65"/>
      <c r="CX131" s="13"/>
      <c r="DA131" s="65"/>
      <c r="DB131" s="13"/>
      <c r="DE131" s="65"/>
      <c r="DF131" s="13"/>
      <c r="DI131" s="65"/>
      <c r="DJ131" s="13"/>
      <c r="DM131" s="65"/>
      <c r="DN131" s="13"/>
      <c r="DQ131" s="65"/>
      <c r="DR131" s="13"/>
      <c r="DU131" s="65"/>
      <c r="DV131" s="13"/>
      <c r="DY131" s="65"/>
      <c r="DZ131" s="13"/>
      <c r="EA131" s="14"/>
      <c r="EC131" s="65"/>
      <c r="ED131" s="13"/>
      <c r="EE131" s="14"/>
      <c r="EG131" s="65"/>
      <c r="EH131" s="13"/>
      <c r="EI131" s="14"/>
      <c r="EK131" s="65"/>
      <c r="EL131" s="13"/>
      <c r="EM131" s="14"/>
      <c r="EO131" s="65"/>
      <c r="EP131" s="13"/>
      <c r="EQ131" s="14"/>
      <c r="ES131" s="65"/>
      <c r="ET131" s="13"/>
      <c r="EU131" s="14"/>
      <c r="EW131" s="65"/>
      <c r="EX131" s="13"/>
      <c r="EY131" s="14"/>
      <c r="FA131" s="65"/>
      <c r="FB131" s="13"/>
      <c r="FC131" s="14"/>
      <c r="FE131" s="65"/>
      <c r="FF131" s="13"/>
      <c r="FG131" s="14"/>
      <c r="FI131" s="65"/>
      <c r="FJ131" s="13"/>
      <c r="FK131" s="14"/>
      <c r="FM131" s="65"/>
      <c r="FN131" s="13"/>
      <c r="FO131" s="14"/>
      <c r="FQ131" s="65"/>
      <c r="FR131" s="13"/>
      <c r="FS131" s="14"/>
      <c r="FU131" s="65"/>
      <c r="FV131" s="13"/>
      <c r="FW131" s="14"/>
      <c r="FY131" s="65"/>
      <c r="FZ131" s="13"/>
      <c r="GA131" s="14"/>
      <c r="GC131" s="65"/>
      <c r="GD131" s="13"/>
      <c r="GE131" s="14"/>
      <c r="GG131" s="65"/>
      <c r="GH131" s="13"/>
      <c r="GI131" s="14"/>
      <c r="GK131" s="65"/>
      <c r="GL131" s="13"/>
      <c r="GM131" s="14"/>
      <c r="GO131" s="65"/>
      <c r="GP131" s="13"/>
      <c r="GQ131" s="14"/>
      <c r="GS131" s="65"/>
      <c r="GT131" s="13"/>
      <c r="GU131" s="14"/>
      <c r="GW131" s="65"/>
      <c r="GX131" s="13"/>
      <c r="GY131" s="14"/>
      <c r="HA131" s="65"/>
      <c r="HB131" s="13"/>
      <c r="HC131" s="14"/>
      <c r="HE131" s="65"/>
      <c r="HF131" s="13"/>
      <c r="HG131" s="14"/>
      <c r="HI131" s="65"/>
      <c r="HJ131" s="13"/>
      <c r="HK131" s="14"/>
      <c r="HM131" s="65"/>
      <c r="HN131" s="13"/>
      <c r="HO131" s="14"/>
      <c r="HQ131" s="65"/>
      <c r="HR131" s="13"/>
      <c r="HS131" s="14"/>
      <c r="HU131" s="65"/>
      <c r="HV131" s="13"/>
      <c r="HW131" s="14"/>
      <c r="HY131" s="65"/>
      <c r="HZ131" s="13"/>
      <c r="IA131" s="14"/>
      <c r="IC131" s="65"/>
      <c r="ID131" s="13"/>
      <c r="IE131" s="14"/>
      <c r="IG131" s="65"/>
      <c r="IH131" s="13"/>
      <c r="II131" s="14"/>
      <c r="IK131" s="65"/>
      <c r="IL131" s="13"/>
      <c r="IM131" s="14"/>
      <c r="IO131" s="65"/>
      <c r="IP131" s="13"/>
      <c r="IQ131" s="14"/>
      <c r="IS131" s="65"/>
      <c r="IT131" s="13"/>
      <c r="IU131" s="14"/>
      <c r="IW131" s="65"/>
      <c r="IX131" s="13"/>
      <c r="IY131" s="14"/>
      <c r="JA131" s="65"/>
      <c r="JB131" s="13"/>
      <c r="JC131" s="14"/>
      <c r="JE131" s="65"/>
      <c r="JF131" s="13"/>
      <c r="JG131" s="14"/>
      <c r="JI131" s="65"/>
      <c r="JJ131" s="13"/>
      <c r="JK131" s="14"/>
      <c r="JM131" s="65"/>
      <c r="JN131" s="13"/>
      <c r="JO131" s="14"/>
      <c r="JQ131" s="65"/>
      <c r="JR131" s="13"/>
      <c r="JS131" s="14"/>
      <c r="JU131" s="65"/>
      <c r="JV131" s="13"/>
      <c r="JW131" s="14"/>
      <c r="JY131" s="65"/>
      <c r="JZ131" s="13"/>
      <c r="KA131" s="14"/>
      <c r="KC131" s="65"/>
      <c r="KD131" s="13"/>
      <c r="KE131" s="14"/>
      <c r="KG131" s="65"/>
      <c r="KH131" s="13"/>
      <c r="KI131" s="14"/>
      <c r="KK131" s="65"/>
      <c r="KL131" s="13"/>
      <c r="KM131" s="14"/>
      <c r="KO131" s="65"/>
      <c r="KP131" s="13"/>
      <c r="KQ131" s="14"/>
      <c r="KS131" s="65"/>
      <c r="KT131" s="13"/>
      <c r="KU131" s="14"/>
      <c r="KW131" s="65"/>
      <c r="KX131" s="13"/>
      <c r="KY131" s="14"/>
      <c r="LA131" s="65"/>
      <c r="LB131" s="13"/>
      <c r="LC131" s="14"/>
      <c r="LE131" s="65"/>
      <c r="LF131" s="13"/>
      <c r="LG131" s="14"/>
      <c r="LI131" s="65"/>
      <c r="LJ131" s="13"/>
      <c r="LK131" s="14"/>
      <c r="LM131" s="65"/>
      <c r="LN131" s="13"/>
      <c r="LO131" s="14"/>
      <c r="LQ131" s="65"/>
      <c r="LR131" s="13"/>
      <c r="LS131" s="14"/>
      <c r="LU131" s="65"/>
      <c r="LV131" s="13"/>
      <c r="LW131" s="14"/>
      <c r="LY131" s="65"/>
      <c r="LZ131" s="13"/>
      <c r="MA131" s="14"/>
      <c r="MC131" s="65"/>
      <c r="MD131" s="13"/>
      <c r="ME131" s="14"/>
      <c r="MG131" s="65"/>
      <c r="MH131" s="13"/>
      <c r="MI131" s="14"/>
      <c r="MK131" s="65"/>
      <c r="ML131" s="13"/>
      <c r="MM131" s="14"/>
      <c r="MO131" s="65"/>
      <c r="MP131" s="13"/>
      <c r="MQ131" s="14"/>
      <c r="MS131" s="65"/>
      <c r="MT131" s="13"/>
      <c r="MU131" s="14"/>
    </row>
    <row r="132" spans="1:359" hidden="1" x14ac:dyDescent="0.25">
      <c r="A132" s="15">
        <f t="shared" si="171"/>
        <v>0</v>
      </c>
      <c r="B132" s="20">
        <v>42826</v>
      </c>
      <c r="D132" s="12">
        <v>44</v>
      </c>
      <c r="E132" s="12">
        <v>1142964.3553360063</v>
      </c>
      <c r="F132" s="14">
        <v>42556</v>
      </c>
      <c r="I132" s="12"/>
      <c r="J132" s="13"/>
      <c r="K132" s="14"/>
      <c r="N132" s="12"/>
      <c r="O132" s="13"/>
      <c r="P132" s="14"/>
      <c r="T132" s="15"/>
      <c r="U132" s="20"/>
      <c r="W132" s="12"/>
      <c r="X132" s="12"/>
      <c r="Y132" s="14"/>
      <c r="AB132" s="12"/>
      <c r="AC132" s="13"/>
      <c r="AD132" s="14"/>
      <c r="AG132" s="12"/>
      <c r="AH132" s="13"/>
      <c r="AI132" s="14"/>
      <c r="AK132" s="12"/>
      <c r="AL132" s="13"/>
      <c r="AM132" s="14"/>
      <c r="CK132" s="65"/>
      <c r="CL132" s="13"/>
      <c r="CO132" s="65"/>
      <c r="CP132" s="13"/>
      <c r="CS132" s="65"/>
      <c r="CT132" s="13"/>
      <c r="CW132" s="65"/>
      <c r="CX132" s="13"/>
      <c r="DA132" s="65"/>
      <c r="DB132" s="13"/>
      <c r="DE132" s="65"/>
      <c r="DF132" s="13"/>
      <c r="DI132" s="65"/>
      <c r="DJ132" s="13"/>
      <c r="DM132" s="65"/>
      <c r="DN132" s="13"/>
      <c r="DQ132" s="65"/>
      <c r="DR132" s="13"/>
      <c r="DU132" s="65"/>
      <c r="DV132" s="13"/>
      <c r="DY132" s="65"/>
      <c r="DZ132" s="13"/>
      <c r="EA132" s="14"/>
      <c r="EC132" s="65"/>
      <c r="ED132" s="13"/>
      <c r="EE132" s="14"/>
      <c r="EG132" s="65"/>
      <c r="EH132" s="13"/>
      <c r="EI132" s="14"/>
      <c r="EK132" s="65"/>
      <c r="EL132" s="13"/>
      <c r="EM132" s="14"/>
      <c r="EO132" s="65"/>
      <c r="EP132" s="13"/>
      <c r="EQ132" s="14"/>
      <c r="ES132" s="65"/>
      <c r="ET132" s="13"/>
      <c r="EU132" s="14"/>
      <c r="EW132" s="65"/>
      <c r="EX132" s="13"/>
      <c r="EY132" s="14"/>
      <c r="FA132" s="65"/>
      <c r="FB132" s="13"/>
      <c r="FC132" s="14"/>
      <c r="FE132" s="65"/>
      <c r="FF132" s="13"/>
      <c r="FG132" s="14"/>
      <c r="FI132" s="65"/>
      <c r="FJ132" s="13"/>
      <c r="FK132" s="14"/>
      <c r="FM132" s="65"/>
      <c r="FN132" s="13"/>
      <c r="FO132" s="14"/>
      <c r="FQ132" s="65"/>
      <c r="FR132" s="13"/>
      <c r="FS132" s="14"/>
      <c r="FU132" s="65"/>
      <c r="FV132" s="13"/>
      <c r="FW132" s="14"/>
      <c r="FY132" s="65"/>
      <c r="FZ132" s="13"/>
      <c r="GA132" s="14"/>
      <c r="GC132" s="65"/>
      <c r="GD132" s="13"/>
      <c r="GE132" s="14"/>
      <c r="GG132" s="65"/>
      <c r="GH132" s="13"/>
      <c r="GI132" s="14"/>
      <c r="GK132" s="65"/>
      <c r="GL132" s="13"/>
      <c r="GM132" s="14"/>
      <c r="GO132" s="65"/>
      <c r="GP132" s="13"/>
      <c r="GQ132" s="14"/>
      <c r="GS132" s="65"/>
      <c r="GT132" s="13"/>
      <c r="GU132" s="14"/>
      <c r="GW132" s="65"/>
      <c r="GX132" s="13"/>
      <c r="GY132" s="14"/>
      <c r="HA132" s="65"/>
      <c r="HB132" s="13"/>
      <c r="HC132" s="14"/>
      <c r="HE132" s="65"/>
      <c r="HF132" s="13"/>
      <c r="HG132" s="14"/>
      <c r="HI132" s="65"/>
      <c r="HJ132" s="13"/>
      <c r="HK132" s="14"/>
      <c r="HM132" s="65"/>
      <c r="HN132" s="13"/>
      <c r="HO132" s="14"/>
      <c r="HQ132" s="65"/>
      <c r="HR132" s="13"/>
      <c r="HS132" s="14"/>
      <c r="HU132" s="65"/>
      <c r="HV132" s="13"/>
      <c r="HW132" s="14"/>
      <c r="HY132" s="65"/>
      <c r="HZ132" s="13"/>
      <c r="IA132" s="14"/>
      <c r="IC132" s="65"/>
      <c r="ID132" s="13"/>
      <c r="IE132" s="14"/>
      <c r="IG132" s="65"/>
      <c r="IH132" s="13"/>
      <c r="II132" s="14"/>
      <c r="IK132" s="65"/>
      <c r="IL132" s="13"/>
      <c r="IM132" s="14"/>
      <c r="IO132" s="65"/>
      <c r="IP132" s="13"/>
      <c r="IQ132" s="14"/>
      <c r="IS132" s="65"/>
      <c r="IT132" s="13"/>
      <c r="IU132" s="14"/>
      <c r="IW132" s="65"/>
      <c r="IX132" s="13"/>
      <c r="IY132" s="14"/>
      <c r="JA132" s="65"/>
      <c r="JB132" s="13"/>
      <c r="JC132" s="14"/>
      <c r="JE132" s="65"/>
      <c r="JF132" s="13"/>
      <c r="JG132" s="14"/>
      <c r="JI132" s="65"/>
      <c r="JJ132" s="13"/>
      <c r="JK132" s="14"/>
      <c r="JM132" s="65"/>
      <c r="JN132" s="13"/>
      <c r="JO132" s="14"/>
      <c r="JQ132" s="65"/>
      <c r="JR132" s="13"/>
      <c r="JS132" s="14"/>
      <c r="JU132" s="65"/>
      <c r="JV132" s="13"/>
      <c r="JW132" s="14"/>
      <c r="JY132" s="65"/>
      <c r="JZ132" s="13"/>
      <c r="KA132" s="14"/>
      <c r="KC132" s="65"/>
      <c r="KD132" s="13"/>
      <c r="KE132" s="14"/>
      <c r="KG132" s="65"/>
      <c r="KH132" s="13"/>
      <c r="KI132" s="14"/>
      <c r="KK132" s="65"/>
      <c r="KL132" s="13"/>
      <c r="KM132" s="14"/>
      <c r="KO132" s="65"/>
      <c r="KP132" s="13"/>
      <c r="KQ132" s="14"/>
      <c r="KS132" s="65"/>
      <c r="KT132" s="13"/>
      <c r="KU132" s="14"/>
      <c r="KW132" s="65"/>
      <c r="KX132" s="13"/>
      <c r="KY132" s="14"/>
      <c r="LA132" s="65"/>
      <c r="LB132" s="13"/>
      <c r="LC132" s="14"/>
      <c r="LE132" s="65"/>
      <c r="LF132" s="13"/>
      <c r="LG132" s="14"/>
      <c r="LI132" s="65"/>
      <c r="LJ132" s="13"/>
      <c r="LK132" s="14"/>
      <c r="LM132" s="65"/>
      <c r="LN132" s="13"/>
      <c r="LO132" s="14"/>
      <c r="LQ132" s="65"/>
      <c r="LR132" s="13"/>
      <c r="LS132" s="14"/>
      <c r="LU132" s="65"/>
      <c r="LV132" s="13"/>
      <c r="LW132" s="14"/>
      <c r="LY132" s="65"/>
      <c r="LZ132" s="13"/>
      <c r="MA132" s="14"/>
      <c r="MC132" s="65"/>
      <c r="MD132" s="13"/>
      <c r="ME132" s="14"/>
      <c r="MG132" s="65"/>
      <c r="MH132" s="13"/>
      <c r="MI132" s="14"/>
      <c r="MK132" s="65"/>
      <c r="ML132" s="13"/>
      <c r="MM132" s="14"/>
      <c r="MO132" s="65"/>
      <c r="MP132" s="13"/>
      <c r="MQ132" s="14"/>
      <c r="MS132" s="65"/>
      <c r="MT132" s="13"/>
      <c r="MU132" s="14"/>
    </row>
    <row r="133" spans="1:359" hidden="1" x14ac:dyDescent="0.25">
      <c r="A133" s="15">
        <f t="shared" si="171"/>
        <v>0</v>
      </c>
      <c r="B133" s="20">
        <v>42827</v>
      </c>
      <c r="D133" s="12">
        <v>43</v>
      </c>
      <c r="E133" s="12">
        <v>1142991.6092871113</v>
      </c>
      <c r="F133" s="14">
        <v>42557</v>
      </c>
      <c r="I133" s="12"/>
      <c r="J133" s="17"/>
      <c r="N133" s="12"/>
      <c r="O133" s="17"/>
      <c r="T133" s="15"/>
      <c r="U133" s="20"/>
      <c r="W133" s="12"/>
      <c r="X133" s="12"/>
      <c r="Y133" s="14"/>
      <c r="AB133" s="12"/>
      <c r="AC133" s="17"/>
      <c r="AG133" s="12"/>
      <c r="AH133" s="17"/>
      <c r="AK133" s="12"/>
      <c r="AL133" s="13"/>
      <c r="AM133" s="14"/>
      <c r="CK133" s="65"/>
      <c r="CL133" s="13"/>
      <c r="CO133" s="65"/>
      <c r="CP133" s="13"/>
      <c r="CS133" s="65"/>
      <c r="CT133" s="13"/>
      <c r="CW133" s="65"/>
      <c r="CX133" s="13"/>
      <c r="DA133" s="65"/>
      <c r="DB133" s="13"/>
      <c r="DE133" s="65"/>
      <c r="DF133" s="13"/>
      <c r="DI133" s="65"/>
      <c r="DJ133" s="13"/>
      <c r="DM133" s="65"/>
      <c r="DN133" s="13"/>
      <c r="DQ133" s="65"/>
      <c r="DR133" s="13"/>
      <c r="DU133" s="65"/>
      <c r="DV133" s="13"/>
      <c r="DY133" s="65"/>
      <c r="DZ133" s="13"/>
      <c r="EA133" s="14"/>
      <c r="EC133" s="65"/>
      <c r="ED133" s="13"/>
      <c r="EE133" s="14"/>
      <c r="EG133" s="65"/>
      <c r="EH133" s="13"/>
      <c r="EI133" s="14"/>
      <c r="EK133" s="65"/>
      <c r="EL133" s="13"/>
      <c r="EM133" s="14"/>
      <c r="EO133" s="65"/>
      <c r="EP133" s="13"/>
      <c r="EQ133" s="14"/>
      <c r="ES133" s="65"/>
      <c r="ET133" s="13"/>
      <c r="EU133" s="14"/>
      <c r="EW133" s="65"/>
      <c r="EX133" s="13"/>
      <c r="EY133" s="14"/>
      <c r="FA133" s="65"/>
      <c r="FB133" s="13"/>
      <c r="FC133" s="14"/>
      <c r="FE133" s="65"/>
      <c r="FF133" s="13"/>
      <c r="FG133" s="14"/>
      <c r="FI133" s="65"/>
      <c r="FJ133" s="13"/>
      <c r="FK133" s="14"/>
      <c r="FM133" s="65"/>
      <c r="FN133" s="13"/>
      <c r="FO133" s="14"/>
      <c r="FQ133" s="65"/>
      <c r="FR133" s="13"/>
      <c r="FS133" s="14"/>
      <c r="FU133" s="65"/>
      <c r="FV133" s="13"/>
      <c r="FW133" s="14"/>
      <c r="FY133" s="65"/>
      <c r="FZ133" s="13"/>
      <c r="GA133" s="14"/>
      <c r="GC133" s="65"/>
      <c r="GD133" s="13"/>
      <c r="GE133" s="14"/>
      <c r="GG133" s="65"/>
      <c r="GH133" s="13"/>
      <c r="GI133" s="14"/>
      <c r="GK133" s="65"/>
      <c r="GL133" s="13"/>
      <c r="GM133" s="14"/>
      <c r="GO133" s="65"/>
      <c r="GP133" s="13"/>
      <c r="GQ133" s="14"/>
      <c r="GS133" s="65"/>
      <c r="GT133" s="13"/>
      <c r="GU133" s="14"/>
      <c r="GW133" s="65"/>
      <c r="GX133" s="13"/>
      <c r="GY133" s="14"/>
      <c r="HA133" s="65"/>
      <c r="HB133" s="13"/>
      <c r="HC133" s="14"/>
      <c r="HE133" s="65"/>
      <c r="HF133" s="13"/>
      <c r="HG133" s="14"/>
      <c r="HI133" s="65"/>
      <c r="HJ133" s="13"/>
      <c r="HK133" s="14"/>
      <c r="HM133" s="65"/>
      <c r="HN133" s="13"/>
      <c r="HO133" s="14"/>
      <c r="HQ133" s="65"/>
      <c r="HR133" s="13"/>
      <c r="HS133" s="14"/>
      <c r="HU133" s="65"/>
      <c r="HV133" s="13"/>
      <c r="HW133" s="14"/>
      <c r="HY133" s="65"/>
      <c r="HZ133" s="13"/>
      <c r="IA133" s="14"/>
      <c r="IC133" s="65"/>
      <c r="ID133" s="13"/>
      <c r="IE133" s="14"/>
      <c r="IG133" s="65"/>
      <c r="IH133" s="13"/>
      <c r="II133" s="14"/>
      <c r="IK133" s="65"/>
      <c r="IL133" s="13"/>
      <c r="IM133" s="14"/>
      <c r="IO133" s="65"/>
      <c r="IP133" s="13"/>
      <c r="IQ133" s="14"/>
      <c r="IS133" s="65"/>
      <c r="IT133" s="13"/>
      <c r="IU133" s="14"/>
      <c r="IW133" s="65"/>
      <c r="IX133" s="13"/>
      <c r="IY133" s="14"/>
      <c r="JA133" s="65"/>
      <c r="JB133" s="13"/>
      <c r="JC133" s="14"/>
      <c r="JE133" s="65"/>
      <c r="JF133" s="13"/>
      <c r="JG133" s="14"/>
      <c r="JI133" s="65"/>
      <c r="JJ133" s="13"/>
      <c r="JK133" s="14"/>
      <c r="JM133" s="65"/>
      <c r="JN133" s="13"/>
      <c r="JO133" s="14"/>
      <c r="JQ133" s="65"/>
      <c r="JR133" s="13"/>
      <c r="JS133" s="14"/>
      <c r="JU133" s="65"/>
      <c r="JV133" s="13"/>
      <c r="JW133" s="14"/>
      <c r="JY133" s="65"/>
      <c r="JZ133" s="13"/>
      <c r="KA133" s="14"/>
      <c r="KC133" s="65"/>
      <c r="KD133" s="13"/>
      <c r="KE133" s="14"/>
      <c r="KG133" s="65"/>
      <c r="KH133" s="13"/>
      <c r="KI133" s="14"/>
      <c r="KK133" s="65"/>
      <c r="KL133" s="13"/>
      <c r="KM133" s="14"/>
      <c r="KO133" s="65"/>
      <c r="KP133" s="13"/>
      <c r="KQ133" s="14"/>
      <c r="KS133" s="65"/>
      <c r="KT133" s="13"/>
      <c r="KU133" s="14"/>
      <c r="KW133" s="65"/>
      <c r="KX133" s="13"/>
      <c r="KY133" s="14"/>
      <c r="LA133" s="65"/>
      <c r="LB133" s="13"/>
      <c r="LC133" s="14"/>
      <c r="LE133" s="65"/>
      <c r="LF133" s="13"/>
      <c r="LG133" s="14"/>
      <c r="LI133" s="65"/>
      <c r="LJ133" s="13"/>
      <c r="LK133" s="14"/>
      <c r="LM133" s="65"/>
      <c r="LN133" s="13"/>
      <c r="LO133" s="14"/>
      <c r="LQ133" s="65"/>
      <c r="LR133" s="13"/>
      <c r="LS133" s="14"/>
      <c r="LU133" s="65"/>
      <c r="LV133" s="13"/>
      <c r="LW133" s="14"/>
      <c r="LY133" s="65"/>
      <c r="LZ133" s="13"/>
      <c r="MA133" s="14"/>
      <c r="MC133" s="65"/>
      <c r="MD133" s="13"/>
      <c r="ME133" s="14"/>
      <c r="MG133" s="65"/>
      <c r="MH133" s="13"/>
      <c r="MI133" s="14"/>
      <c r="MK133" s="65"/>
      <c r="ML133" s="13"/>
      <c r="MM133" s="14"/>
      <c r="MO133" s="65"/>
      <c r="MP133" s="13"/>
      <c r="MQ133" s="14"/>
      <c r="MS133" s="65"/>
      <c r="MT133" s="13"/>
      <c r="MU133" s="14"/>
    </row>
    <row r="134" spans="1:359" hidden="1" x14ac:dyDescent="0.25">
      <c r="A134" s="15">
        <f t="shared" si="171"/>
        <v>0</v>
      </c>
      <c r="B134" s="20">
        <v>42828</v>
      </c>
      <c r="D134" s="12">
        <v>42</v>
      </c>
      <c r="E134" s="12">
        <v>1143018.8645379862</v>
      </c>
      <c r="F134" s="14">
        <v>42558</v>
      </c>
      <c r="I134" s="12"/>
      <c r="J134" s="17"/>
      <c r="N134" s="12"/>
      <c r="O134" s="17"/>
      <c r="T134" s="15"/>
      <c r="U134" s="20"/>
      <c r="W134" s="12"/>
      <c r="X134" s="12"/>
      <c r="Y134" s="14"/>
      <c r="AB134" s="12"/>
      <c r="AC134" s="17"/>
      <c r="AG134" s="12"/>
      <c r="AH134" s="17"/>
      <c r="AK134" s="12"/>
      <c r="AL134" s="13"/>
      <c r="AM134" s="14"/>
      <c r="CK134" s="65"/>
      <c r="CL134" s="13"/>
      <c r="CO134" s="65"/>
      <c r="CP134" s="13"/>
      <c r="CS134" s="65"/>
      <c r="CT134" s="13"/>
      <c r="CW134" s="65"/>
      <c r="CX134" s="13"/>
      <c r="DA134" s="65"/>
      <c r="DB134" s="13"/>
      <c r="DE134" s="65"/>
      <c r="DF134" s="13"/>
      <c r="DI134" s="65"/>
      <c r="DJ134" s="13"/>
      <c r="DM134" s="65"/>
      <c r="DN134" s="13"/>
      <c r="DQ134" s="65"/>
      <c r="DR134" s="13"/>
      <c r="DU134" s="65"/>
      <c r="DV134" s="13"/>
      <c r="DY134" s="65"/>
      <c r="DZ134" s="13"/>
      <c r="EA134" s="14"/>
      <c r="EC134" s="65"/>
      <c r="ED134" s="13"/>
      <c r="EE134" s="14"/>
      <c r="EG134" s="65"/>
      <c r="EH134" s="13"/>
      <c r="EI134" s="14"/>
      <c r="EK134" s="65"/>
      <c r="EL134" s="13"/>
      <c r="EM134" s="14"/>
      <c r="EO134" s="65"/>
      <c r="EP134" s="13"/>
      <c r="EQ134" s="14"/>
      <c r="ES134" s="65"/>
      <c r="ET134" s="13"/>
      <c r="EU134" s="14"/>
      <c r="EW134" s="65"/>
      <c r="EX134" s="13"/>
      <c r="EY134" s="14"/>
      <c r="FA134" s="65"/>
      <c r="FB134" s="13"/>
      <c r="FC134" s="14"/>
      <c r="FE134" s="65"/>
      <c r="FF134" s="13"/>
      <c r="FG134" s="14"/>
      <c r="FI134" s="65"/>
      <c r="FJ134" s="13"/>
      <c r="FK134" s="14"/>
      <c r="FM134" s="65"/>
      <c r="FN134" s="13"/>
      <c r="FO134" s="14"/>
      <c r="FQ134" s="65"/>
      <c r="FR134" s="13"/>
      <c r="FS134" s="14"/>
      <c r="FU134" s="65"/>
      <c r="FV134" s="13"/>
      <c r="FW134" s="14"/>
      <c r="FY134" s="65"/>
      <c r="FZ134" s="13"/>
      <c r="GA134" s="14"/>
      <c r="GC134" s="65"/>
      <c r="GD134" s="13"/>
      <c r="GE134" s="14"/>
      <c r="GG134" s="65"/>
      <c r="GH134" s="13"/>
      <c r="GI134" s="14"/>
      <c r="GK134" s="65"/>
      <c r="GL134" s="13"/>
      <c r="GM134" s="14"/>
      <c r="GO134" s="65"/>
      <c r="GP134" s="13"/>
      <c r="GQ134" s="14"/>
      <c r="GS134" s="65"/>
      <c r="GT134" s="13"/>
      <c r="GU134" s="14"/>
      <c r="GW134" s="65"/>
      <c r="GX134" s="13"/>
      <c r="GY134" s="14"/>
      <c r="HA134" s="65"/>
      <c r="HB134" s="13"/>
      <c r="HC134" s="14"/>
      <c r="HE134" s="65"/>
      <c r="HF134" s="13"/>
      <c r="HG134" s="14"/>
      <c r="HI134" s="65"/>
      <c r="HJ134" s="13"/>
      <c r="HK134" s="14"/>
      <c r="HM134" s="65"/>
      <c r="HN134" s="13"/>
      <c r="HO134" s="14"/>
      <c r="HQ134" s="65"/>
      <c r="HR134" s="13"/>
      <c r="HS134" s="14"/>
      <c r="HU134" s="65"/>
      <c r="HV134" s="13"/>
      <c r="HW134" s="14"/>
      <c r="HY134" s="65"/>
      <c r="HZ134" s="13"/>
      <c r="IA134" s="14"/>
      <c r="IC134" s="65"/>
      <c r="ID134" s="13"/>
      <c r="IE134" s="14"/>
      <c r="IG134" s="65"/>
      <c r="IH134" s="13"/>
      <c r="II134" s="14"/>
      <c r="IK134" s="65"/>
      <c r="IL134" s="13"/>
      <c r="IM134" s="14"/>
      <c r="IO134" s="65"/>
      <c r="IP134" s="13"/>
      <c r="IQ134" s="14"/>
      <c r="IS134" s="65"/>
      <c r="IT134" s="13"/>
      <c r="IU134" s="14"/>
      <c r="IW134" s="65"/>
      <c r="IX134" s="13"/>
      <c r="IY134" s="14"/>
      <c r="JA134" s="65"/>
      <c r="JB134" s="13"/>
      <c r="JC134" s="14"/>
      <c r="JE134" s="65"/>
      <c r="JF134" s="13"/>
      <c r="JG134" s="14"/>
      <c r="JI134" s="65"/>
      <c r="JJ134" s="13"/>
      <c r="JK134" s="14"/>
      <c r="JM134" s="65"/>
      <c r="JN134" s="13"/>
      <c r="JO134" s="14"/>
      <c r="JQ134" s="65"/>
      <c r="JR134" s="13"/>
      <c r="JS134" s="14"/>
      <c r="JU134" s="65"/>
      <c r="JV134" s="13"/>
      <c r="JW134" s="14"/>
      <c r="JY134" s="65"/>
      <c r="JZ134" s="13"/>
      <c r="KA134" s="14"/>
      <c r="KC134" s="65"/>
      <c r="KD134" s="13"/>
      <c r="KE134" s="14"/>
      <c r="KG134" s="65"/>
      <c r="KH134" s="13"/>
      <c r="KI134" s="14"/>
      <c r="KK134" s="65"/>
      <c r="KL134" s="13"/>
      <c r="KM134" s="14"/>
      <c r="KO134" s="65"/>
      <c r="KP134" s="13"/>
      <c r="KQ134" s="14"/>
      <c r="KS134" s="65"/>
      <c r="KT134" s="13"/>
      <c r="KU134" s="14"/>
      <c r="KW134" s="65"/>
      <c r="KX134" s="13"/>
      <c r="KY134" s="14"/>
      <c r="LA134" s="65"/>
      <c r="LB134" s="13"/>
      <c r="LC134" s="14"/>
      <c r="LE134" s="65"/>
      <c r="LF134" s="13"/>
      <c r="LG134" s="14"/>
      <c r="LI134" s="65"/>
      <c r="LJ134" s="13"/>
      <c r="LK134" s="14"/>
      <c r="LM134" s="65"/>
      <c r="LN134" s="13"/>
      <c r="LO134" s="14"/>
      <c r="LQ134" s="65"/>
      <c r="LR134" s="13"/>
      <c r="LS134" s="14"/>
      <c r="LU134" s="65"/>
      <c r="LV134" s="13"/>
      <c r="LW134" s="14"/>
      <c r="LY134" s="65"/>
      <c r="LZ134" s="13"/>
      <c r="MA134" s="14"/>
      <c r="MC134" s="65"/>
      <c r="MD134" s="13"/>
      <c r="ME134" s="14"/>
      <c r="MG134" s="65"/>
      <c r="MH134" s="13"/>
      <c r="MI134" s="14"/>
      <c r="MK134" s="65"/>
      <c r="ML134" s="13"/>
      <c r="MM134" s="14"/>
      <c r="MO134" s="65"/>
      <c r="MP134" s="13"/>
      <c r="MQ134" s="14"/>
      <c r="MS134" s="65"/>
      <c r="MT134" s="13"/>
      <c r="MU134" s="14"/>
    </row>
    <row r="135" spans="1:359" hidden="1" x14ac:dyDescent="0.25">
      <c r="A135" s="15">
        <f t="shared" si="171"/>
        <v>0</v>
      </c>
      <c r="B135" s="20">
        <v>42829</v>
      </c>
      <c r="D135" s="12">
        <v>41</v>
      </c>
      <c r="E135" s="12">
        <v>1143046.1210887246</v>
      </c>
      <c r="F135" s="14">
        <v>42559</v>
      </c>
      <c r="I135" s="12"/>
      <c r="J135" s="17"/>
      <c r="N135" s="12"/>
      <c r="O135" s="17"/>
      <c r="T135" s="15"/>
      <c r="U135" s="20"/>
      <c r="W135" s="12"/>
      <c r="X135" s="12"/>
      <c r="Y135" s="14"/>
      <c r="AB135" s="12"/>
      <c r="AC135" s="17"/>
      <c r="AG135" s="12"/>
      <c r="AH135" s="17"/>
      <c r="AK135" s="12"/>
      <c r="AL135" s="13"/>
      <c r="AM135" s="14"/>
      <c r="CK135" s="65"/>
      <c r="CL135" s="13"/>
      <c r="CO135" s="65"/>
      <c r="CP135" s="13"/>
      <c r="CS135" s="65"/>
      <c r="CT135" s="13"/>
      <c r="CW135" s="65"/>
      <c r="CX135" s="13"/>
      <c r="DA135" s="65"/>
      <c r="DB135" s="13"/>
      <c r="DE135" s="65"/>
      <c r="DF135" s="13"/>
      <c r="DI135" s="65"/>
      <c r="DJ135" s="13"/>
      <c r="DM135" s="65"/>
      <c r="DN135" s="13"/>
      <c r="DQ135" s="65"/>
      <c r="DR135" s="13"/>
      <c r="DU135" s="65"/>
      <c r="DV135" s="13"/>
      <c r="DY135" s="65"/>
      <c r="DZ135" s="13"/>
      <c r="EA135" s="14"/>
      <c r="EC135" s="65"/>
      <c r="ED135" s="13"/>
      <c r="EE135" s="14"/>
      <c r="EG135" s="65"/>
      <c r="EH135" s="13"/>
      <c r="EI135" s="14"/>
      <c r="EK135" s="65"/>
      <c r="EL135" s="13"/>
      <c r="EM135" s="14"/>
      <c r="EO135" s="65"/>
      <c r="EP135" s="13"/>
      <c r="EQ135" s="14"/>
      <c r="ES135" s="65"/>
      <c r="ET135" s="13"/>
      <c r="EU135" s="14"/>
      <c r="EW135" s="65"/>
      <c r="EX135" s="13"/>
      <c r="EY135" s="14"/>
      <c r="FA135" s="65"/>
      <c r="FB135" s="13"/>
      <c r="FC135" s="14"/>
      <c r="FE135" s="65"/>
      <c r="FF135" s="13"/>
      <c r="FG135" s="14"/>
      <c r="FI135" s="65"/>
      <c r="FJ135" s="13"/>
      <c r="FK135" s="14"/>
      <c r="FM135" s="65"/>
      <c r="FN135" s="13"/>
      <c r="FO135" s="14"/>
      <c r="FQ135" s="65"/>
      <c r="FR135" s="13"/>
      <c r="FS135" s="14"/>
      <c r="FU135" s="65"/>
      <c r="FV135" s="13"/>
      <c r="FW135" s="14"/>
      <c r="FY135" s="65"/>
      <c r="FZ135" s="13"/>
      <c r="GA135" s="14"/>
      <c r="GC135" s="65"/>
      <c r="GD135" s="13"/>
      <c r="GE135" s="14"/>
      <c r="GG135" s="65"/>
      <c r="GH135" s="13"/>
      <c r="GI135" s="14"/>
      <c r="GK135" s="65"/>
      <c r="GL135" s="13"/>
      <c r="GM135" s="14"/>
      <c r="GO135" s="65"/>
      <c r="GP135" s="13"/>
      <c r="GQ135" s="14"/>
      <c r="GS135" s="65"/>
      <c r="GT135" s="13"/>
      <c r="GU135" s="14"/>
      <c r="GW135" s="65"/>
      <c r="GX135" s="13"/>
      <c r="GY135" s="14"/>
      <c r="HA135" s="65"/>
      <c r="HB135" s="13"/>
      <c r="HC135" s="14"/>
      <c r="HE135" s="65"/>
      <c r="HF135" s="13"/>
      <c r="HG135" s="14"/>
      <c r="HI135" s="65"/>
      <c r="HJ135" s="13"/>
      <c r="HK135" s="14"/>
      <c r="HM135" s="65"/>
      <c r="HN135" s="13"/>
      <c r="HO135" s="14"/>
      <c r="HQ135" s="65"/>
      <c r="HR135" s="13"/>
      <c r="HS135" s="14"/>
      <c r="HU135" s="65"/>
      <c r="HV135" s="13"/>
      <c r="HW135" s="14"/>
      <c r="HY135" s="65"/>
      <c r="HZ135" s="13"/>
      <c r="IA135" s="14"/>
      <c r="IC135" s="65"/>
      <c r="ID135" s="13"/>
      <c r="IE135" s="14"/>
      <c r="IG135" s="65"/>
      <c r="IH135" s="13"/>
      <c r="II135" s="14"/>
      <c r="IK135" s="65"/>
      <c r="IL135" s="13"/>
      <c r="IM135" s="14"/>
      <c r="IO135" s="65"/>
      <c r="IP135" s="13"/>
      <c r="IQ135" s="14"/>
      <c r="IS135" s="65"/>
      <c r="IT135" s="13"/>
      <c r="IU135" s="14"/>
      <c r="IW135" s="65"/>
      <c r="IX135" s="13"/>
      <c r="IY135" s="14"/>
      <c r="JA135" s="65"/>
      <c r="JB135" s="13"/>
      <c r="JC135" s="14"/>
      <c r="JE135" s="65"/>
      <c r="JF135" s="13"/>
      <c r="JG135" s="14"/>
      <c r="JI135" s="65"/>
      <c r="JJ135" s="13"/>
      <c r="JK135" s="14"/>
      <c r="JM135" s="65"/>
      <c r="JN135" s="13"/>
      <c r="JO135" s="14"/>
      <c r="JQ135" s="65"/>
      <c r="JR135" s="13"/>
      <c r="JS135" s="14"/>
      <c r="JU135" s="65"/>
      <c r="JV135" s="13"/>
      <c r="JW135" s="14"/>
      <c r="JY135" s="65"/>
      <c r="JZ135" s="13"/>
      <c r="KA135" s="14"/>
      <c r="KC135" s="65"/>
      <c r="KD135" s="13"/>
      <c r="KE135" s="14"/>
      <c r="KG135" s="65"/>
      <c r="KH135" s="13"/>
      <c r="KI135" s="14"/>
      <c r="KK135" s="65"/>
      <c r="KL135" s="13"/>
      <c r="KM135" s="14"/>
      <c r="KO135" s="65"/>
      <c r="KP135" s="13"/>
      <c r="KQ135" s="14"/>
      <c r="KS135" s="65"/>
      <c r="KT135" s="13"/>
      <c r="KU135" s="14"/>
      <c r="KW135" s="65"/>
      <c r="KX135" s="13"/>
      <c r="KY135" s="14"/>
      <c r="LA135" s="65"/>
      <c r="LB135" s="13"/>
      <c r="LC135" s="14"/>
      <c r="LE135" s="65"/>
      <c r="LF135" s="13"/>
      <c r="LG135" s="14"/>
      <c r="LI135" s="65"/>
      <c r="LJ135" s="13"/>
      <c r="LK135" s="14"/>
      <c r="LM135" s="65"/>
      <c r="LN135" s="13"/>
      <c r="LO135" s="14"/>
      <c r="LQ135" s="65"/>
      <c r="LR135" s="13"/>
      <c r="LS135" s="14"/>
      <c r="LU135" s="65"/>
      <c r="LV135" s="13"/>
      <c r="LW135" s="14"/>
      <c r="LY135" s="65"/>
      <c r="LZ135" s="13"/>
      <c r="MA135" s="14"/>
      <c r="MC135" s="65"/>
      <c r="MD135" s="13"/>
      <c r="ME135" s="14"/>
      <c r="MG135" s="65"/>
      <c r="MH135" s="13"/>
      <c r="MI135" s="14"/>
      <c r="MK135" s="65"/>
      <c r="ML135" s="13"/>
      <c r="MM135" s="14"/>
      <c r="MO135" s="65"/>
      <c r="MP135" s="13"/>
      <c r="MQ135" s="14"/>
      <c r="MS135" s="65"/>
      <c r="MT135" s="13"/>
      <c r="MU135" s="14"/>
    </row>
    <row r="136" spans="1:359" hidden="1" x14ac:dyDescent="0.25">
      <c r="A136" s="15">
        <f t="shared" si="171"/>
        <v>0</v>
      </c>
      <c r="B136" s="20">
        <v>42830</v>
      </c>
      <c r="D136" s="12">
        <v>40</v>
      </c>
      <c r="E136" s="12">
        <v>1143073.3789394193</v>
      </c>
      <c r="F136" s="14">
        <v>42560</v>
      </c>
      <c r="I136" s="12"/>
      <c r="J136" s="17"/>
      <c r="N136" s="12"/>
      <c r="O136" s="17"/>
      <c r="T136" s="15"/>
      <c r="U136" s="20"/>
      <c r="W136" s="12"/>
      <c r="X136" s="12"/>
      <c r="Y136" s="14"/>
      <c r="AB136" s="12"/>
      <c r="AC136" s="17"/>
      <c r="AG136" s="12"/>
      <c r="AH136" s="17"/>
      <c r="AK136" s="12"/>
      <c r="AL136" s="13"/>
      <c r="AM136" s="14"/>
      <c r="CK136" s="65"/>
      <c r="CL136" s="13"/>
      <c r="CO136" s="65"/>
      <c r="CP136" s="13"/>
      <c r="CS136" s="65"/>
      <c r="CT136" s="13"/>
      <c r="CW136" s="65"/>
      <c r="CX136" s="13"/>
      <c r="DA136" s="65"/>
      <c r="DB136" s="13"/>
      <c r="DE136" s="65"/>
      <c r="DF136" s="13"/>
      <c r="DI136" s="65"/>
      <c r="DJ136" s="13"/>
      <c r="DM136" s="65"/>
      <c r="DN136" s="13"/>
      <c r="DQ136" s="65"/>
      <c r="DR136" s="13"/>
      <c r="DU136" s="65"/>
      <c r="DV136" s="13"/>
      <c r="DY136" s="65"/>
      <c r="DZ136" s="13"/>
      <c r="EA136" s="14"/>
      <c r="EC136" s="65"/>
      <c r="ED136" s="13"/>
      <c r="EE136" s="14"/>
      <c r="EG136" s="65"/>
      <c r="EH136" s="13"/>
      <c r="EI136" s="14"/>
      <c r="EK136" s="65"/>
      <c r="EL136" s="13"/>
      <c r="EM136" s="14"/>
      <c r="EO136" s="65"/>
      <c r="EP136" s="13"/>
      <c r="EQ136" s="14"/>
      <c r="ES136" s="65"/>
      <c r="ET136" s="13"/>
      <c r="EU136" s="14"/>
      <c r="EW136" s="65"/>
      <c r="EX136" s="13"/>
      <c r="EY136" s="14"/>
      <c r="FA136" s="65"/>
      <c r="FB136" s="13"/>
      <c r="FC136" s="14"/>
      <c r="FE136" s="65"/>
      <c r="FF136" s="13"/>
      <c r="FG136" s="14"/>
      <c r="FI136" s="65"/>
      <c r="FJ136" s="13"/>
      <c r="FK136" s="14"/>
      <c r="FM136" s="65"/>
      <c r="FN136" s="13"/>
      <c r="FO136" s="14"/>
      <c r="FQ136" s="65"/>
      <c r="FR136" s="13"/>
      <c r="FS136" s="14"/>
      <c r="FU136" s="65"/>
      <c r="FV136" s="13"/>
      <c r="FW136" s="14"/>
      <c r="FY136" s="65"/>
      <c r="FZ136" s="13"/>
      <c r="GA136" s="14"/>
      <c r="GC136" s="65"/>
      <c r="GD136" s="13"/>
      <c r="GE136" s="14"/>
      <c r="GG136" s="65"/>
      <c r="GH136" s="13"/>
      <c r="GI136" s="14"/>
      <c r="GK136" s="65"/>
      <c r="GL136" s="13"/>
      <c r="GM136" s="14"/>
      <c r="GO136" s="65"/>
      <c r="GP136" s="13"/>
      <c r="GQ136" s="14"/>
      <c r="GS136" s="65"/>
      <c r="GT136" s="13"/>
      <c r="GU136" s="14"/>
      <c r="GW136" s="65"/>
      <c r="GX136" s="13"/>
      <c r="GY136" s="14"/>
      <c r="HA136" s="65"/>
      <c r="HB136" s="13"/>
      <c r="HC136" s="14"/>
      <c r="HE136" s="65"/>
      <c r="HF136" s="13"/>
      <c r="HG136" s="14"/>
      <c r="HI136" s="65"/>
      <c r="HJ136" s="13"/>
      <c r="HK136" s="14"/>
      <c r="HM136" s="65"/>
      <c r="HN136" s="13"/>
      <c r="HO136" s="14"/>
      <c r="HQ136" s="65"/>
      <c r="HR136" s="13"/>
      <c r="HS136" s="14"/>
      <c r="HU136" s="65"/>
      <c r="HV136" s="13"/>
      <c r="HW136" s="14"/>
      <c r="HY136" s="65"/>
      <c r="HZ136" s="13"/>
      <c r="IA136" s="14"/>
      <c r="IC136" s="65"/>
      <c r="ID136" s="13"/>
      <c r="IE136" s="14"/>
      <c r="IG136" s="65"/>
      <c r="IH136" s="13"/>
      <c r="II136" s="14"/>
      <c r="IK136" s="65"/>
      <c r="IL136" s="13"/>
      <c r="IM136" s="14"/>
      <c r="IO136" s="65"/>
      <c r="IP136" s="13"/>
      <c r="IQ136" s="14"/>
      <c r="IS136" s="65"/>
      <c r="IT136" s="13"/>
      <c r="IU136" s="14"/>
      <c r="IW136" s="65"/>
      <c r="IX136" s="13"/>
      <c r="IY136" s="14"/>
      <c r="JA136" s="65"/>
      <c r="JB136" s="13"/>
      <c r="JC136" s="14"/>
      <c r="JE136" s="65"/>
      <c r="JF136" s="13"/>
      <c r="JG136" s="14"/>
      <c r="JI136" s="65"/>
      <c r="JJ136" s="13"/>
      <c r="JK136" s="14"/>
      <c r="JM136" s="65"/>
      <c r="JN136" s="13"/>
      <c r="JO136" s="14"/>
      <c r="JQ136" s="65"/>
      <c r="JR136" s="13"/>
      <c r="JS136" s="14"/>
      <c r="JU136" s="65"/>
      <c r="JV136" s="13"/>
      <c r="JW136" s="14"/>
      <c r="JY136" s="65"/>
      <c r="JZ136" s="13"/>
      <c r="KA136" s="14"/>
      <c r="KC136" s="65"/>
      <c r="KD136" s="13"/>
      <c r="KE136" s="14"/>
      <c r="KG136" s="65"/>
      <c r="KH136" s="13"/>
      <c r="KI136" s="14"/>
      <c r="KK136" s="65"/>
      <c r="KL136" s="13"/>
      <c r="KM136" s="14"/>
      <c r="KO136" s="65"/>
      <c r="KP136" s="13"/>
      <c r="KQ136" s="14"/>
      <c r="KS136" s="65"/>
      <c r="KT136" s="13"/>
      <c r="KU136" s="14"/>
      <c r="KW136" s="65"/>
      <c r="KX136" s="13"/>
      <c r="KY136" s="14"/>
      <c r="LA136" s="65"/>
      <c r="LB136" s="13"/>
      <c r="LC136" s="14"/>
      <c r="LE136" s="65"/>
      <c r="LF136" s="13"/>
      <c r="LG136" s="14"/>
      <c r="LI136" s="65"/>
      <c r="LJ136" s="13"/>
      <c r="LK136" s="14"/>
      <c r="LM136" s="65"/>
      <c r="LN136" s="13"/>
      <c r="LO136" s="14"/>
      <c r="LQ136" s="65"/>
      <c r="LR136" s="13"/>
      <c r="LS136" s="14"/>
      <c r="LU136" s="65"/>
      <c r="LV136" s="13"/>
      <c r="LW136" s="14"/>
      <c r="LY136" s="65"/>
      <c r="LZ136" s="13"/>
      <c r="MA136" s="14"/>
      <c r="MC136" s="65"/>
      <c r="MD136" s="13"/>
      <c r="ME136" s="14"/>
      <c r="MG136" s="65"/>
      <c r="MH136" s="13"/>
      <c r="MI136" s="14"/>
      <c r="MK136" s="65"/>
      <c r="ML136" s="13"/>
      <c r="MM136" s="14"/>
      <c r="MO136" s="65"/>
      <c r="MP136" s="13"/>
      <c r="MQ136" s="14"/>
      <c r="MS136" s="65"/>
      <c r="MT136" s="13"/>
      <c r="MU136" s="14"/>
    </row>
    <row r="137" spans="1:359" hidden="1" x14ac:dyDescent="0.25">
      <c r="A137" s="15">
        <f t="shared" ref="A137:A200" si="192">+O137</f>
        <v>0</v>
      </c>
      <c r="B137" s="20">
        <v>42831</v>
      </c>
      <c r="D137" s="12">
        <v>39</v>
      </c>
      <c r="E137" s="12">
        <v>1143100.6380901632</v>
      </c>
      <c r="F137" s="14">
        <v>42561</v>
      </c>
      <c r="I137" s="12"/>
      <c r="J137" s="17"/>
      <c r="N137" s="12"/>
      <c r="O137" s="17"/>
      <c r="T137" s="15"/>
      <c r="U137" s="20"/>
      <c r="W137" s="12"/>
      <c r="X137" s="12"/>
      <c r="Y137" s="14"/>
      <c r="AB137" s="12"/>
      <c r="AC137" s="17"/>
      <c r="AG137" s="12"/>
      <c r="AH137" s="17"/>
      <c r="AK137" s="12"/>
      <c r="AL137" s="13"/>
      <c r="AM137" s="14"/>
      <c r="CK137" s="65"/>
      <c r="CL137" s="13"/>
      <c r="CO137" s="65"/>
      <c r="CP137" s="13"/>
      <c r="CS137" s="65"/>
      <c r="CT137" s="13"/>
      <c r="CW137" s="65"/>
      <c r="CX137" s="13"/>
      <c r="DA137" s="65"/>
      <c r="DB137" s="13"/>
      <c r="DE137" s="65"/>
      <c r="DF137" s="13"/>
      <c r="DI137" s="65"/>
      <c r="DJ137" s="13"/>
      <c r="DM137" s="65"/>
      <c r="DN137" s="13"/>
      <c r="DQ137" s="65"/>
      <c r="DR137" s="13"/>
      <c r="DU137" s="65"/>
      <c r="DV137" s="13"/>
      <c r="DY137" s="65"/>
      <c r="DZ137" s="13"/>
      <c r="EA137" s="14"/>
      <c r="EC137" s="65"/>
      <c r="ED137" s="13"/>
      <c r="EE137" s="14"/>
      <c r="EG137" s="65"/>
      <c r="EH137" s="13"/>
      <c r="EI137" s="14"/>
      <c r="EK137" s="65"/>
      <c r="EL137" s="13"/>
      <c r="EM137" s="14"/>
      <c r="EO137" s="65"/>
      <c r="EP137" s="13"/>
      <c r="EQ137" s="14"/>
      <c r="ES137" s="65"/>
      <c r="ET137" s="13"/>
      <c r="EU137" s="14"/>
      <c r="EW137" s="65"/>
      <c r="EX137" s="13"/>
      <c r="EY137" s="14"/>
      <c r="FA137" s="65"/>
      <c r="FB137" s="13"/>
      <c r="FC137" s="14"/>
      <c r="FE137" s="65"/>
      <c r="FF137" s="13"/>
      <c r="FG137" s="14"/>
      <c r="FI137" s="65"/>
      <c r="FJ137" s="13"/>
      <c r="FK137" s="14"/>
      <c r="FM137" s="65"/>
      <c r="FN137" s="13"/>
      <c r="FO137" s="14"/>
      <c r="FQ137" s="65"/>
      <c r="FR137" s="13"/>
      <c r="FS137" s="14"/>
      <c r="FU137" s="65"/>
      <c r="FV137" s="13"/>
      <c r="FW137" s="14"/>
      <c r="FY137" s="65"/>
      <c r="FZ137" s="13"/>
      <c r="GA137" s="14"/>
      <c r="GC137" s="65"/>
      <c r="GD137" s="13"/>
      <c r="GE137" s="14"/>
      <c r="GG137" s="65"/>
      <c r="GH137" s="13"/>
      <c r="GI137" s="14"/>
      <c r="GK137" s="65"/>
      <c r="GL137" s="13"/>
      <c r="GM137" s="14"/>
      <c r="GO137" s="65"/>
      <c r="GP137" s="13"/>
      <c r="GQ137" s="14"/>
      <c r="GS137" s="65"/>
      <c r="GT137" s="13"/>
      <c r="GU137" s="14"/>
      <c r="GW137" s="65"/>
      <c r="GX137" s="13"/>
      <c r="GY137" s="14"/>
      <c r="HA137" s="65"/>
      <c r="HB137" s="13"/>
      <c r="HC137" s="14"/>
      <c r="HE137" s="65"/>
      <c r="HF137" s="13"/>
      <c r="HG137" s="14"/>
      <c r="HI137" s="65"/>
      <c r="HJ137" s="13"/>
      <c r="HK137" s="14"/>
      <c r="HM137" s="65"/>
      <c r="HN137" s="13"/>
      <c r="HO137" s="14"/>
      <c r="HQ137" s="65"/>
      <c r="HR137" s="13"/>
      <c r="HS137" s="14"/>
      <c r="HU137" s="65"/>
      <c r="HV137" s="13"/>
      <c r="HW137" s="14"/>
      <c r="HY137" s="65"/>
      <c r="HZ137" s="13"/>
      <c r="IA137" s="14"/>
      <c r="IC137" s="65"/>
      <c r="ID137" s="13"/>
      <c r="IE137" s="14"/>
      <c r="IG137" s="65"/>
      <c r="IH137" s="13"/>
      <c r="II137" s="14"/>
      <c r="IK137" s="65"/>
      <c r="IL137" s="13"/>
      <c r="IM137" s="14"/>
      <c r="IO137" s="65"/>
      <c r="IP137" s="13"/>
      <c r="IQ137" s="14"/>
      <c r="IS137" s="65"/>
      <c r="IT137" s="13"/>
      <c r="IU137" s="14"/>
      <c r="IW137" s="65"/>
      <c r="IX137" s="13"/>
      <c r="IY137" s="14"/>
      <c r="JA137" s="65"/>
      <c r="JB137" s="13"/>
      <c r="JC137" s="14"/>
      <c r="JE137" s="65"/>
      <c r="JF137" s="13"/>
      <c r="JG137" s="14"/>
      <c r="JI137" s="65"/>
      <c r="JJ137" s="13"/>
      <c r="JK137" s="14"/>
      <c r="JM137" s="65"/>
      <c r="JN137" s="13"/>
      <c r="JO137" s="14"/>
      <c r="JQ137" s="65"/>
      <c r="JR137" s="13"/>
      <c r="JS137" s="14"/>
      <c r="JU137" s="65"/>
      <c r="JV137" s="13"/>
      <c r="JW137" s="14"/>
      <c r="JY137" s="65"/>
      <c r="JZ137" s="13"/>
      <c r="KA137" s="14"/>
      <c r="KC137" s="65"/>
      <c r="KD137" s="13"/>
      <c r="KE137" s="14"/>
      <c r="KG137" s="65"/>
      <c r="KH137" s="13"/>
      <c r="KI137" s="14"/>
      <c r="KK137" s="65"/>
      <c r="KL137" s="13"/>
      <c r="KM137" s="14"/>
      <c r="KO137" s="65"/>
      <c r="KP137" s="13"/>
      <c r="KQ137" s="14"/>
      <c r="KS137" s="65"/>
      <c r="KT137" s="13"/>
      <c r="KU137" s="14"/>
      <c r="KW137" s="65"/>
      <c r="KX137" s="13"/>
      <c r="KY137" s="14"/>
      <c r="LA137" s="65"/>
      <c r="LB137" s="13"/>
      <c r="LC137" s="14"/>
      <c r="LE137" s="65"/>
      <c r="LF137" s="13"/>
      <c r="LG137" s="14"/>
      <c r="LI137" s="65"/>
      <c r="LJ137" s="13"/>
      <c r="LK137" s="14"/>
      <c r="LM137" s="65"/>
      <c r="LN137" s="13"/>
      <c r="LO137" s="14"/>
      <c r="LQ137" s="65"/>
      <c r="LR137" s="13"/>
      <c r="LS137" s="14"/>
      <c r="LU137" s="65"/>
      <c r="LV137" s="13"/>
      <c r="LW137" s="14"/>
      <c r="LY137" s="65"/>
      <c r="LZ137" s="13"/>
      <c r="MA137" s="14"/>
      <c r="MC137" s="65"/>
      <c r="MD137" s="13"/>
      <c r="ME137" s="14"/>
      <c r="MG137" s="65"/>
      <c r="MH137" s="13"/>
      <c r="MI137" s="14"/>
      <c r="MK137" s="65"/>
      <c r="ML137" s="13"/>
      <c r="MM137" s="14"/>
      <c r="MO137" s="65"/>
      <c r="MP137" s="13"/>
      <c r="MQ137" s="14"/>
      <c r="MS137" s="65"/>
      <c r="MT137" s="13"/>
      <c r="MU137" s="14"/>
    </row>
    <row r="138" spans="1:359" hidden="1" x14ac:dyDescent="0.25">
      <c r="A138" s="15">
        <f t="shared" si="192"/>
        <v>0</v>
      </c>
      <c r="B138" s="20">
        <v>42832</v>
      </c>
      <c r="D138" s="12">
        <v>38</v>
      </c>
      <c r="E138" s="12">
        <v>1143127.8985410493</v>
      </c>
      <c r="F138" s="14">
        <v>42562</v>
      </c>
      <c r="I138" s="12"/>
      <c r="J138" s="17"/>
      <c r="N138" s="12"/>
      <c r="O138" s="17"/>
      <c r="T138" s="15"/>
      <c r="U138" s="20"/>
      <c r="W138" s="12"/>
      <c r="X138" s="12"/>
      <c r="Y138" s="14"/>
      <c r="AB138" s="12"/>
      <c r="AC138" s="17"/>
      <c r="AG138" s="12"/>
      <c r="AH138" s="17"/>
      <c r="AK138" s="12"/>
      <c r="AL138" s="13"/>
      <c r="AM138" s="14"/>
      <c r="CK138" s="65"/>
      <c r="CL138" s="13"/>
      <c r="CO138" s="65"/>
      <c r="CP138" s="13"/>
      <c r="CS138" s="65"/>
      <c r="CT138" s="13"/>
      <c r="CW138" s="65"/>
      <c r="CX138" s="13"/>
      <c r="DA138" s="65"/>
      <c r="DB138" s="13"/>
      <c r="DE138" s="65"/>
      <c r="DF138" s="13"/>
      <c r="DI138" s="65"/>
      <c r="DJ138" s="13"/>
      <c r="DM138" s="65"/>
      <c r="DN138" s="13"/>
      <c r="DQ138" s="65"/>
      <c r="DR138" s="13"/>
      <c r="DU138" s="65"/>
      <c r="DV138" s="13"/>
      <c r="DY138" s="65"/>
      <c r="DZ138" s="13"/>
      <c r="EA138" s="14"/>
      <c r="EC138" s="65"/>
      <c r="ED138" s="13"/>
      <c r="EE138" s="14"/>
      <c r="EG138" s="65"/>
      <c r="EH138" s="13"/>
      <c r="EI138" s="14"/>
      <c r="EK138" s="65"/>
      <c r="EL138" s="13"/>
      <c r="EM138" s="14"/>
      <c r="EO138" s="65"/>
      <c r="EP138" s="13"/>
      <c r="EQ138" s="14"/>
      <c r="ES138" s="65"/>
      <c r="ET138" s="13"/>
      <c r="EU138" s="14"/>
      <c r="EW138" s="65"/>
      <c r="EX138" s="13"/>
      <c r="EY138" s="14"/>
      <c r="FA138" s="65"/>
      <c r="FB138" s="13"/>
      <c r="FC138" s="14"/>
      <c r="FE138" s="65"/>
      <c r="FF138" s="13"/>
      <c r="FG138" s="14"/>
      <c r="FI138" s="65"/>
      <c r="FJ138" s="13"/>
      <c r="FK138" s="14"/>
      <c r="FM138" s="65"/>
      <c r="FN138" s="13"/>
      <c r="FO138" s="14"/>
      <c r="FQ138" s="65"/>
      <c r="FR138" s="13"/>
      <c r="FS138" s="14"/>
      <c r="FU138" s="65"/>
      <c r="FV138" s="13"/>
      <c r="FW138" s="14"/>
      <c r="FY138" s="65"/>
      <c r="FZ138" s="13"/>
      <c r="GA138" s="14"/>
      <c r="GC138" s="65"/>
      <c r="GD138" s="13"/>
      <c r="GE138" s="14"/>
      <c r="GG138" s="65"/>
      <c r="GH138" s="13"/>
      <c r="GI138" s="14"/>
      <c r="GK138" s="65"/>
      <c r="GL138" s="13"/>
      <c r="GM138" s="14"/>
      <c r="GO138" s="65"/>
      <c r="GP138" s="13"/>
      <c r="GQ138" s="14"/>
      <c r="GS138" s="65"/>
      <c r="GT138" s="13"/>
      <c r="GU138" s="14"/>
      <c r="GW138" s="65"/>
      <c r="GX138" s="13"/>
      <c r="GY138" s="14"/>
      <c r="HA138" s="65"/>
      <c r="HB138" s="13"/>
      <c r="HC138" s="14"/>
      <c r="HE138" s="65"/>
      <c r="HF138" s="13"/>
      <c r="HG138" s="14"/>
      <c r="HI138" s="65"/>
      <c r="HJ138" s="13"/>
      <c r="HK138" s="14"/>
      <c r="HM138" s="65"/>
      <c r="HN138" s="13"/>
      <c r="HO138" s="14"/>
      <c r="HQ138" s="65"/>
      <c r="HR138" s="13"/>
      <c r="HS138" s="14"/>
      <c r="HU138" s="65"/>
      <c r="HV138" s="13"/>
      <c r="HW138" s="14"/>
      <c r="HY138" s="65"/>
      <c r="HZ138" s="13"/>
      <c r="IA138" s="14"/>
      <c r="IC138" s="65"/>
      <c r="ID138" s="13"/>
      <c r="IE138" s="14"/>
      <c r="IG138" s="65"/>
      <c r="IH138" s="13"/>
      <c r="II138" s="14"/>
      <c r="IK138" s="65"/>
      <c r="IL138" s="13"/>
      <c r="IM138" s="14"/>
      <c r="IO138" s="65"/>
      <c r="IP138" s="13"/>
      <c r="IQ138" s="14"/>
      <c r="IS138" s="65"/>
      <c r="IT138" s="13"/>
      <c r="IU138" s="14"/>
      <c r="IW138" s="65"/>
      <c r="IX138" s="13"/>
      <c r="IY138" s="14"/>
      <c r="JA138" s="65"/>
      <c r="JB138" s="13"/>
      <c r="JC138" s="14"/>
      <c r="JE138" s="65"/>
      <c r="JF138" s="13"/>
      <c r="JG138" s="14"/>
      <c r="JI138" s="65"/>
      <c r="JJ138" s="13"/>
      <c r="JK138" s="14"/>
      <c r="JM138" s="65"/>
      <c r="JN138" s="13"/>
      <c r="JO138" s="14"/>
      <c r="JQ138" s="65"/>
      <c r="JR138" s="13"/>
      <c r="JS138" s="14"/>
      <c r="JU138" s="65"/>
      <c r="JV138" s="13"/>
      <c r="JW138" s="14"/>
      <c r="JY138" s="65"/>
      <c r="JZ138" s="13"/>
      <c r="KA138" s="14"/>
      <c r="KC138" s="65"/>
      <c r="KD138" s="13"/>
      <c r="KE138" s="14"/>
      <c r="KG138" s="65"/>
      <c r="KH138" s="13"/>
      <c r="KI138" s="14"/>
      <c r="KK138" s="65"/>
      <c r="KL138" s="13"/>
      <c r="KM138" s="14"/>
      <c r="KO138" s="65"/>
      <c r="KP138" s="13"/>
      <c r="KQ138" s="14"/>
      <c r="KS138" s="65"/>
      <c r="KT138" s="13"/>
      <c r="KU138" s="14"/>
      <c r="KW138" s="65"/>
      <c r="KX138" s="13"/>
      <c r="KY138" s="14"/>
      <c r="LA138" s="65"/>
      <c r="LB138" s="13"/>
      <c r="LC138" s="14"/>
      <c r="LE138" s="65"/>
      <c r="LF138" s="13"/>
      <c r="LG138" s="14"/>
      <c r="LI138" s="65"/>
      <c r="LJ138" s="13"/>
      <c r="LK138" s="14"/>
      <c r="LM138" s="65"/>
      <c r="LN138" s="13"/>
      <c r="LO138" s="14"/>
      <c r="LQ138" s="65"/>
      <c r="LR138" s="13"/>
      <c r="LS138" s="14"/>
      <c r="LU138" s="65"/>
      <c r="LV138" s="13"/>
      <c r="LW138" s="14"/>
      <c r="LY138" s="65"/>
      <c r="LZ138" s="13"/>
      <c r="MA138" s="14"/>
      <c r="MC138" s="65"/>
      <c r="MD138" s="13"/>
      <c r="ME138" s="14"/>
      <c r="MG138" s="65"/>
      <c r="MH138" s="13"/>
      <c r="MI138" s="14"/>
      <c r="MK138" s="65"/>
      <c r="ML138" s="13"/>
      <c r="MM138" s="14"/>
      <c r="MO138" s="65"/>
      <c r="MP138" s="13"/>
      <c r="MQ138" s="14"/>
      <c r="MS138" s="65"/>
      <c r="MT138" s="13"/>
      <c r="MU138" s="14"/>
    </row>
    <row r="139" spans="1:359" hidden="1" x14ac:dyDescent="0.25">
      <c r="A139" s="15">
        <f t="shared" si="192"/>
        <v>0</v>
      </c>
      <c r="B139" s="20">
        <v>42833</v>
      </c>
      <c r="D139" s="12">
        <v>37</v>
      </c>
      <c r="E139" s="12">
        <v>1143155.1602921709</v>
      </c>
      <c r="F139" s="14">
        <v>42563</v>
      </c>
      <c r="I139" s="12"/>
      <c r="J139" s="17"/>
      <c r="N139" s="12"/>
      <c r="O139" s="17"/>
      <c r="T139" s="15"/>
      <c r="U139" s="20"/>
      <c r="W139" s="12"/>
      <c r="X139" s="12"/>
      <c r="Y139" s="14"/>
      <c r="AB139" s="12"/>
      <c r="AC139" s="17"/>
      <c r="AG139" s="12"/>
      <c r="AH139" s="17"/>
      <c r="AK139" s="12"/>
      <c r="AL139" s="13"/>
      <c r="AM139" s="14"/>
      <c r="CK139" s="65"/>
      <c r="CL139" s="13"/>
      <c r="CO139" s="65"/>
      <c r="CP139" s="13"/>
      <c r="CS139" s="65"/>
      <c r="CT139" s="13"/>
      <c r="CW139" s="65"/>
      <c r="CX139" s="13"/>
      <c r="DA139" s="65"/>
      <c r="DB139" s="13"/>
      <c r="DE139" s="65"/>
      <c r="DF139" s="13"/>
      <c r="DI139" s="65"/>
      <c r="DJ139" s="13"/>
      <c r="DM139" s="65"/>
      <c r="DN139" s="13"/>
      <c r="DQ139" s="65"/>
      <c r="DR139" s="13"/>
      <c r="DU139" s="65"/>
      <c r="DV139" s="13"/>
      <c r="DY139" s="65"/>
      <c r="DZ139" s="13"/>
      <c r="EA139" s="14"/>
      <c r="EC139" s="65"/>
      <c r="ED139" s="13"/>
      <c r="EE139" s="14"/>
      <c r="EG139" s="65"/>
      <c r="EH139" s="13"/>
      <c r="EI139" s="14"/>
      <c r="EK139" s="65"/>
      <c r="EL139" s="13"/>
      <c r="EM139" s="14"/>
      <c r="EO139" s="65"/>
      <c r="EP139" s="13"/>
      <c r="EQ139" s="14"/>
      <c r="ES139" s="65"/>
      <c r="ET139" s="13"/>
      <c r="EU139" s="14"/>
      <c r="EW139" s="65"/>
      <c r="EX139" s="13"/>
      <c r="EY139" s="14"/>
      <c r="FA139" s="65"/>
      <c r="FB139" s="13"/>
      <c r="FC139" s="14"/>
      <c r="FE139" s="65"/>
      <c r="FF139" s="13"/>
      <c r="FG139" s="14"/>
      <c r="FI139" s="65"/>
      <c r="FJ139" s="13"/>
      <c r="FK139" s="14"/>
      <c r="FM139" s="65"/>
      <c r="FN139" s="13"/>
      <c r="FO139" s="14"/>
      <c r="FQ139" s="65"/>
      <c r="FR139" s="13"/>
      <c r="FS139" s="14"/>
      <c r="FU139" s="65"/>
      <c r="FV139" s="13"/>
      <c r="FW139" s="14"/>
      <c r="FY139" s="65"/>
      <c r="FZ139" s="13"/>
      <c r="GA139" s="14"/>
      <c r="GC139" s="65"/>
      <c r="GD139" s="13"/>
      <c r="GE139" s="14"/>
      <c r="GG139" s="65"/>
      <c r="GH139" s="13"/>
      <c r="GI139" s="14"/>
      <c r="GK139" s="65"/>
      <c r="GL139" s="13"/>
      <c r="GM139" s="14"/>
      <c r="GO139" s="65"/>
      <c r="GP139" s="13"/>
      <c r="GQ139" s="14"/>
      <c r="GS139" s="65"/>
      <c r="GT139" s="13"/>
      <c r="GU139" s="14"/>
      <c r="GW139" s="65"/>
      <c r="GX139" s="13"/>
      <c r="GY139" s="14"/>
      <c r="HA139" s="65"/>
      <c r="HB139" s="13"/>
      <c r="HC139" s="14"/>
      <c r="HE139" s="65"/>
      <c r="HF139" s="13"/>
      <c r="HG139" s="14"/>
      <c r="HI139" s="65"/>
      <c r="HJ139" s="13"/>
      <c r="HK139" s="14"/>
      <c r="HM139" s="65"/>
      <c r="HN139" s="13"/>
      <c r="HO139" s="14"/>
      <c r="HQ139" s="65"/>
      <c r="HR139" s="13"/>
      <c r="HS139" s="14"/>
      <c r="HU139" s="65"/>
      <c r="HV139" s="13"/>
      <c r="HW139" s="14"/>
      <c r="HY139" s="65"/>
      <c r="HZ139" s="13"/>
      <c r="IA139" s="14"/>
      <c r="IC139" s="65"/>
      <c r="ID139" s="13"/>
      <c r="IE139" s="14"/>
      <c r="IG139" s="65"/>
      <c r="IH139" s="13"/>
      <c r="II139" s="14"/>
      <c r="IK139" s="65"/>
      <c r="IL139" s="13"/>
      <c r="IM139" s="14"/>
      <c r="IO139" s="65"/>
      <c r="IP139" s="13"/>
      <c r="IQ139" s="14"/>
      <c r="IS139" s="65"/>
      <c r="IT139" s="13"/>
      <c r="IU139" s="14"/>
      <c r="IW139" s="65"/>
      <c r="IX139" s="13"/>
      <c r="IY139" s="14"/>
      <c r="JA139" s="65"/>
      <c r="JB139" s="13"/>
      <c r="JC139" s="14"/>
      <c r="JE139" s="65"/>
      <c r="JF139" s="13"/>
      <c r="JG139" s="14"/>
      <c r="JI139" s="65"/>
      <c r="JJ139" s="13"/>
      <c r="JK139" s="14"/>
      <c r="JM139" s="65"/>
      <c r="JN139" s="13"/>
      <c r="JO139" s="14"/>
      <c r="JQ139" s="65"/>
      <c r="JR139" s="13"/>
      <c r="JS139" s="14"/>
      <c r="JU139" s="65"/>
      <c r="JV139" s="13"/>
      <c r="JW139" s="14"/>
      <c r="JY139" s="65"/>
      <c r="JZ139" s="13"/>
      <c r="KA139" s="14"/>
      <c r="KC139" s="65"/>
      <c r="KD139" s="13"/>
      <c r="KE139" s="14"/>
      <c r="KG139" s="65"/>
      <c r="KH139" s="13"/>
      <c r="KI139" s="14"/>
      <c r="KK139" s="65"/>
      <c r="KL139" s="13"/>
      <c r="KM139" s="14"/>
      <c r="KO139" s="65"/>
      <c r="KP139" s="13"/>
      <c r="KQ139" s="14"/>
      <c r="KS139" s="65"/>
      <c r="KT139" s="13"/>
      <c r="KU139" s="14"/>
      <c r="KW139" s="65"/>
      <c r="KX139" s="13"/>
      <c r="KY139" s="14"/>
      <c r="LA139" s="65"/>
      <c r="LB139" s="13"/>
      <c r="LC139" s="14"/>
      <c r="LE139" s="65"/>
      <c r="LF139" s="13"/>
      <c r="LG139" s="14"/>
      <c r="LI139" s="65"/>
      <c r="LJ139" s="13"/>
      <c r="LK139" s="14"/>
      <c r="LM139" s="65"/>
      <c r="LN139" s="13"/>
      <c r="LO139" s="14"/>
      <c r="LQ139" s="65"/>
      <c r="LR139" s="13"/>
      <c r="LS139" s="14"/>
      <c r="LU139" s="65"/>
      <c r="LV139" s="13"/>
      <c r="LW139" s="14"/>
      <c r="LY139" s="65"/>
      <c r="LZ139" s="13"/>
      <c r="MA139" s="14"/>
      <c r="MC139" s="65"/>
      <c r="MD139" s="13"/>
      <c r="ME139" s="14"/>
      <c r="MG139" s="65"/>
      <c r="MH139" s="13"/>
      <c r="MI139" s="14"/>
      <c r="MK139" s="65"/>
      <c r="ML139" s="13"/>
      <c r="MM139" s="14"/>
      <c r="MO139" s="65"/>
      <c r="MP139" s="13"/>
      <c r="MQ139" s="14"/>
      <c r="MS139" s="65"/>
      <c r="MT139" s="13"/>
      <c r="MU139" s="14"/>
    </row>
    <row r="140" spans="1:359" hidden="1" x14ac:dyDescent="0.25">
      <c r="A140" s="15">
        <f t="shared" si="192"/>
        <v>0</v>
      </c>
      <c r="B140" s="20">
        <v>42834</v>
      </c>
      <c r="D140" s="12">
        <v>36</v>
      </c>
      <c r="E140" s="12">
        <v>1143182.423343621</v>
      </c>
      <c r="F140" s="14">
        <v>42564</v>
      </c>
      <c r="I140" s="12"/>
      <c r="J140" s="17"/>
      <c r="N140" s="12"/>
      <c r="O140" s="17"/>
      <c r="T140" s="15"/>
      <c r="U140" s="20"/>
      <c r="W140" s="12"/>
      <c r="X140" s="12"/>
      <c r="Y140" s="14"/>
      <c r="AB140" s="12"/>
      <c r="AC140" s="17"/>
      <c r="AG140" s="12"/>
      <c r="AH140" s="17"/>
      <c r="AK140" s="12"/>
      <c r="AL140" s="13"/>
      <c r="AM140" s="14"/>
      <c r="CK140" s="65"/>
      <c r="CL140" s="13"/>
      <c r="CO140" s="65"/>
      <c r="CP140" s="13"/>
      <c r="CS140" s="65"/>
      <c r="CT140" s="13"/>
      <c r="CW140" s="65"/>
      <c r="CX140" s="13"/>
      <c r="DA140" s="65"/>
      <c r="DB140" s="13"/>
      <c r="DE140" s="65"/>
      <c r="DF140" s="13"/>
      <c r="DI140" s="65"/>
      <c r="DJ140" s="13"/>
      <c r="DM140" s="65"/>
      <c r="DN140" s="13"/>
      <c r="DQ140" s="65"/>
      <c r="DR140" s="13"/>
      <c r="DU140" s="65"/>
      <c r="DV140" s="13"/>
      <c r="DY140" s="65"/>
      <c r="DZ140" s="13"/>
      <c r="EA140" s="14"/>
      <c r="EC140" s="65"/>
      <c r="ED140" s="13"/>
      <c r="EE140" s="14"/>
      <c r="EG140" s="65"/>
      <c r="EH140" s="13"/>
      <c r="EI140" s="14"/>
      <c r="EK140" s="65"/>
      <c r="EL140" s="13"/>
      <c r="EM140" s="14"/>
      <c r="EO140" s="65"/>
      <c r="EP140" s="13"/>
      <c r="EQ140" s="14"/>
      <c r="ES140" s="65"/>
      <c r="ET140" s="13"/>
      <c r="EU140" s="14"/>
      <c r="EW140" s="65"/>
      <c r="EX140" s="13"/>
      <c r="EY140" s="14"/>
      <c r="FA140" s="65"/>
      <c r="FB140" s="13"/>
      <c r="FC140" s="14"/>
      <c r="FE140" s="65"/>
      <c r="FF140" s="13"/>
      <c r="FG140" s="14"/>
      <c r="FI140" s="65"/>
      <c r="FJ140" s="13"/>
      <c r="FK140" s="14"/>
      <c r="FM140" s="65"/>
      <c r="FN140" s="13"/>
      <c r="FO140" s="14"/>
      <c r="FQ140" s="65"/>
      <c r="FR140" s="13"/>
      <c r="FS140" s="14"/>
      <c r="FU140" s="65"/>
      <c r="FV140" s="13"/>
      <c r="FW140" s="14"/>
      <c r="FY140" s="65"/>
      <c r="FZ140" s="13"/>
      <c r="GA140" s="14"/>
      <c r="GC140" s="65"/>
      <c r="GD140" s="13"/>
      <c r="GE140" s="14"/>
      <c r="GG140" s="65"/>
      <c r="GH140" s="13"/>
      <c r="GI140" s="14"/>
      <c r="GK140" s="65"/>
      <c r="GL140" s="13"/>
      <c r="GM140" s="14"/>
      <c r="GO140" s="65"/>
      <c r="GP140" s="13"/>
      <c r="GQ140" s="14"/>
      <c r="GS140" s="65"/>
      <c r="GT140" s="13"/>
      <c r="GU140" s="14"/>
      <c r="GW140" s="65"/>
      <c r="GX140" s="13"/>
      <c r="GY140" s="14"/>
      <c r="HA140" s="65"/>
      <c r="HB140" s="13"/>
      <c r="HC140" s="14"/>
      <c r="HE140" s="65"/>
      <c r="HF140" s="13"/>
      <c r="HG140" s="14"/>
      <c r="HI140" s="65"/>
      <c r="HJ140" s="13"/>
      <c r="HK140" s="14"/>
      <c r="HM140" s="65"/>
      <c r="HN140" s="13"/>
      <c r="HO140" s="14"/>
      <c r="HQ140" s="65"/>
      <c r="HR140" s="13"/>
      <c r="HS140" s="14"/>
      <c r="HU140" s="65"/>
      <c r="HV140" s="13"/>
      <c r="HW140" s="14"/>
      <c r="HY140" s="65"/>
      <c r="HZ140" s="13"/>
      <c r="IA140" s="14"/>
      <c r="IC140" s="65"/>
      <c r="ID140" s="13"/>
      <c r="IE140" s="14"/>
      <c r="IG140" s="65"/>
      <c r="IH140" s="13"/>
      <c r="II140" s="14"/>
      <c r="IK140" s="65"/>
      <c r="IL140" s="13"/>
      <c r="IM140" s="14"/>
      <c r="IO140" s="65"/>
      <c r="IP140" s="13"/>
      <c r="IQ140" s="14"/>
      <c r="IS140" s="65"/>
      <c r="IT140" s="13"/>
      <c r="IU140" s="14"/>
      <c r="IW140" s="65"/>
      <c r="IX140" s="13"/>
      <c r="IY140" s="14"/>
      <c r="JA140" s="65"/>
      <c r="JB140" s="13"/>
      <c r="JC140" s="14"/>
      <c r="JE140" s="65"/>
      <c r="JF140" s="13"/>
      <c r="JG140" s="14"/>
      <c r="JI140" s="65"/>
      <c r="JJ140" s="13"/>
      <c r="JK140" s="14"/>
      <c r="JM140" s="65"/>
      <c r="JN140" s="13"/>
      <c r="JO140" s="14"/>
      <c r="JQ140" s="65"/>
      <c r="JR140" s="13"/>
      <c r="JS140" s="14"/>
      <c r="JU140" s="65"/>
      <c r="JV140" s="13"/>
      <c r="JW140" s="14"/>
      <c r="JY140" s="65"/>
      <c r="JZ140" s="13"/>
      <c r="KA140" s="14"/>
      <c r="KC140" s="65"/>
      <c r="KD140" s="13"/>
      <c r="KE140" s="14"/>
      <c r="KG140" s="65"/>
      <c r="KH140" s="13"/>
      <c r="KI140" s="14"/>
      <c r="KK140" s="65"/>
      <c r="KL140" s="13"/>
      <c r="KM140" s="14"/>
      <c r="KO140" s="65"/>
      <c r="KP140" s="13"/>
      <c r="KQ140" s="14"/>
      <c r="KS140" s="65"/>
      <c r="KT140" s="13"/>
      <c r="KU140" s="14"/>
      <c r="KW140" s="65"/>
      <c r="KX140" s="13"/>
      <c r="KY140" s="14"/>
      <c r="LA140" s="65"/>
      <c r="LB140" s="13"/>
      <c r="LC140" s="14"/>
      <c r="LE140" s="65"/>
      <c r="LF140" s="13"/>
      <c r="LG140" s="14"/>
      <c r="LI140" s="65"/>
      <c r="LJ140" s="13"/>
      <c r="LK140" s="14"/>
      <c r="LM140" s="65"/>
      <c r="LN140" s="13"/>
      <c r="LO140" s="14"/>
      <c r="LQ140" s="65"/>
      <c r="LR140" s="13"/>
      <c r="LS140" s="14"/>
      <c r="LU140" s="65"/>
      <c r="LV140" s="13"/>
      <c r="LW140" s="14"/>
      <c r="LY140" s="65"/>
      <c r="LZ140" s="13"/>
      <c r="MA140" s="14"/>
      <c r="MC140" s="65"/>
      <c r="MD140" s="13"/>
      <c r="ME140" s="14"/>
      <c r="MG140" s="65"/>
      <c r="MH140" s="13"/>
      <c r="MI140" s="14"/>
      <c r="MK140" s="65"/>
      <c r="ML140" s="13"/>
      <c r="MM140" s="14"/>
      <c r="MO140" s="65"/>
      <c r="MP140" s="13"/>
      <c r="MQ140" s="14"/>
      <c r="MS140" s="65"/>
      <c r="MT140" s="13"/>
      <c r="MU140" s="14"/>
    </row>
    <row r="141" spans="1:359" hidden="1" x14ac:dyDescent="0.25">
      <c r="A141" s="15">
        <f t="shared" si="192"/>
        <v>0</v>
      </c>
      <c r="B141" s="20">
        <v>42835</v>
      </c>
      <c r="D141" s="12">
        <v>35</v>
      </c>
      <c r="E141" s="12">
        <v>1143209.6876954921</v>
      </c>
      <c r="F141" s="14">
        <v>42565</v>
      </c>
      <c r="I141" s="12"/>
      <c r="J141" s="17"/>
      <c r="N141" s="12"/>
      <c r="O141" s="17"/>
      <c r="T141" s="15"/>
      <c r="U141" s="20"/>
      <c r="W141" s="12"/>
      <c r="X141" s="12"/>
      <c r="Y141" s="14"/>
      <c r="AB141" s="12"/>
      <c r="AC141" s="17"/>
      <c r="AG141" s="12"/>
      <c r="AH141" s="17"/>
      <c r="AK141" s="12"/>
      <c r="AL141" s="13"/>
      <c r="AM141" s="14"/>
      <c r="CK141" s="65"/>
      <c r="CL141" s="13"/>
      <c r="CO141" s="65"/>
      <c r="CP141" s="13"/>
      <c r="CS141" s="65"/>
      <c r="CT141" s="13"/>
      <c r="CW141" s="65"/>
      <c r="CX141" s="13"/>
      <c r="DA141" s="65"/>
      <c r="DB141" s="13"/>
      <c r="DE141" s="65"/>
      <c r="DF141" s="13"/>
      <c r="DI141" s="65"/>
      <c r="DJ141" s="13"/>
      <c r="DM141" s="65"/>
      <c r="DN141" s="13"/>
      <c r="DQ141" s="65"/>
      <c r="DR141" s="13"/>
      <c r="DU141" s="65"/>
      <c r="DV141" s="13"/>
      <c r="DY141" s="65"/>
      <c r="DZ141" s="13"/>
      <c r="EA141" s="14"/>
      <c r="EC141" s="65"/>
      <c r="ED141" s="13"/>
      <c r="EE141" s="14"/>
      <c r="EG141" s="65"/>
      <c r="EH141" s="13"/>
      <c r="EI141" s="14"/>
      <c r="EK141" s="65"/>
      <c r="EL141" s="13"/>
      <c r="EM141" s="14"/>
      <c r="EO141" s="65"/>
      <c r="EP141" s="13"/>
      <c r="EQ141" s="14"/>
      <c r="ES141" s="65"/>
      <c r="ET141" s="13"/>
      <c r="EU141" s="14"/>
      <c r="EW141" s="65"/>
      <c r="EX141" s="13"/>
      <c r="EY141" s="14"/>
      <c r="FA141" s="65"/>
      <c r="FB141" s="13"/>
      <c r="FC141" s="14"/>
      <c r="FE141" s="65"/>
      <c r="FF141" s="13"/>
      <c r="FG141" s="14"/>
      <c r="FI141" s="65"/>
      <c r="FJ141" s="13"/>
      <c r="FK141" s="14"/>
      <c r="FM141" s="65"/>
      <c r="FN141" s="13"/>
      <c r="FO141" s="14"/>
      <c r="FQ141" s="65"/>
      <c r="FR141" s="13"/>
      <c r="FS141" s="14"/>
      <c r="FU141" s="65"/>
      <c r="FV141" s="13"/>
      <c r="FW141" s="14"/>
      <c r="FY141" s="65"/>
      <c r="FZ141" s="13"/>
      <c r="GA141" s="14"/>
      <c r="GC141" s="65"/>
      <c r="GD141" s="13"/>
      <c r="GE141" s="14"/>
      <c r="GG141" s="65"/>
      <c r="GH141" s="13"/>
      <c r="GI141" s="14"/>
      <c r="GK141" s="65"/>
      <c r="GL141" s="13"/>
      <c r="GM141" s="14"/>
      <c r="GO141" s="65"/>
      <c r="GP141" s="13"/>
      <c r="GQ141" s="14"/>
      <c r="GS141" s="65"/>
      <c r="GT141" s="13"/>
      <c r="GU141" s="14"/>
      <c r="GW141" s="65"/>
      <c r="GX141" s="13"/>
      <c r="GY141" s="14"/>
      <c r="HA141" s="65"/>
      <c r="HB141" s="13"/>
      <c r="HC141" s="14"/>
      <c r="HE141" s="65"/>
      <c r="HF141" s="13"/>
      <c r="HG141" s="14"/>
      <c r="HI141" s="65"/>
      <c r="HJ141" s="13"/>
      <c r="HK141" s="14"/>
      <c r="HM141" s="65"/>
      <c r="HN141" s="13"/>
      <c r="HO141" s="14"/>
      <c r="HQ141" s="65"/>
      <c r="HR141" s="13"/>
      <c r="HS141" s="14"/>
      <c r="HU141" s="65"/>
      <c r="HV141" s="13"/>
      <c r="HW141" s="14"/>
      <c r="HY141" s="65"/>
      <c r="HZ141" s="13"/>
      <c r="IA141" s="14"/>
      <c r="IC141" s="65"/>
      <c r="ID141" s="13"/>
      <c r="IE141" s="14"/>
      <c r="IG141" s="65"/>
      <c r="IH141" s="13"/>
      <c r="II141" s="14"/>
      <c r="IK141" s="65"/>
      <c r="IL141" s="13"/>
      <c r="IM141" s="14"/>
      <c r="IO141" s="65"/>
      <c r="IP141" s="13"/>
      <c r="IQ141" s="14"/>
      <c r="IS141" s="65"/>
      <c r="IT141" s="13"/>
      <c r="IU141" s="14"/>
      <c r="IW141" s="65"/>
      <c r="IX141" s="13"/>
      <c r="IY141" s="14"/>
      <c r="JA141" s="65"/>
      <c r="JB141" s="13"/>
      <c r="JC141" s="14"/>
      <c r="JE141" s="65"/>
      <c r="JF141" s="13"/>
      <c r="JG141" s="14"/>
      <c r="JI141" s="65"/>
      <c r="JJ141" s="13"/>
      <c r="JK141" s="14"/>
      <c r="JM141" s="65"/>
      <c r="JN141" s="13"/>
      <c r="JO141" s="14"/>
      <c r="JQ141" s="65"/>
      <c r="JR141" s="13"/>
      <c r="JS141" s="14"/>
      <c r="JU141" s="65"/>
      <c r="JV141" s="13"/>
      <c r="JW141" s="14"/>
      <c r="JY141" s="65"/>
      <c r="JZ141" s="13"/>
      <c r="KA141" s="14"/>
      <c r="KC141" s="65"/>
      <c r="KD141" s="13"/>
      <c r="KE141" s="14"/>
      <c r="KG141" s="65"/>
      <c r="KH141" s="13"/>
      <c r="KI141" s="14"/>
      <c r="KK141" s="65"/>
      <c r="KL141" s="13"/>
      <c r="KM141" s="14"/>
      <c r="KO141" s="65"/>
      <c r="KP141" s="13"/>
      <c r="KQ141" s="14"/>
      <c r="KS141" s="65"/>
      <c r="KT141" s="13"/>
      <c r="KU141" s="14"/>
      <c r="KW141" s="65"/>
      <c r="KX141" s="13"/>
      <c r="KY141" s="14"/>
      <c r="LA141" s="65"/>
      <c r="LB141" s="13"/>
      <c r="LC141" s="14"/>
      <c r="LE141" s="65"/>
      <c r="LF141" s="13"/>
      <c r="LG141" s="14"/>
      <c r="LI141" s="65"/>
      <c r="LJ141" s="13"/>
      <c r="LK141" s="14"/>
      <c r="LM141" s="65"/>
      <c r="LN141" s="13"/>
      <c r="LO141" s="14"/>
      <c r="LQ141" s="65"/>
      <c r="LR141" s="13"/>
      <c r="LS141" s="14"/>
      <c r="LU141" s="65"/>
      <c r="LV141" s="13"/>
      <c r="LW141" s="14"/>
      <c r="LY141" s="65"/>
      <c r="LZ141" s="13"/>
      <c r="MA141" s="14"/>
      <c r="MC141" s="65"/>
      <c r="MD141" s="13"/>
      <c r="ME141" s="14"/>
      <c r="MG141" s="65"/>
      <c r="MH141" s="13"/>
      <c r="MI141" s="14"/>
      <c r="MK141" s="65"/>
      <c r="ML141" s="13"/>
      <c r="MM141" s="14"/>
      <c r="MO141" s="65"/>
      <c r="MP141" s="13"/>
      <c r="MQ141" s="14"/>
      <c r="MS141" s="65"/>
      <c r="MT141" s="13"/>
      <c r="MU141" s="14"/>
    </row>
    <row r="142" spans="1:359" hidden="1" x14ac:dyDescent="0.25">
      <c r="A142" s="15">
        <f t="shared" si="192"/>
        <v>0</v>
      </c>
      <c r="B142" s="20">
        <v>42836</v>
      </c>
      <c r="D142" s="12">
        <v>34</v>
      </c>
      <c r="E142" s="12">
        <v>1143236.9533478778</v>
      </c>
      <c r="F142" s="14">
        <v>42566</v>
      </c>
      <c r="I142" s="12"/>
      <c r="J142" s="17"/>
      <c r="N142" s="12"/>
      <c r="O142" s="17"/>
      <c r="T142" s="15"/>
      <c r="U142" s="20"/>
      <c r="W142" s="12"/>
      <c r="X142" s="12"/>
      <c r="Y142" s="14"/>
      <c r="AB142" s="12"/>
      <c r="AC142" s="17"/>
      <c r="AG142" s="12"/>
      <c r="AH142" s="17"/>
      <c r="AK142" s="12"/>
      <c r="AL142" s="13"/>
      <c r="AM142" s="14"/>
      <c r="CK142" s="65"/>
      <c r="CL142" s="13"/>
      <c r="CO142" s="65"/>
      <c r="CP142" s="13"/>
      <c r="CS142" s="65"/>
      <c r="CT142" s="13"/>
      <c r="CW142" s="65"/>
      <c r="CX142" s="13"/>
      <c r="DA142" s="65"/>
      <c r="DB142" s="13"/>
      <c r="DE142" s="65"/>
      <c r="DF142" s="13"/>
      <c r="DI142" s="65"/>
      <c r="DJ142" s="13"/>
      <c r="DM142" s="65"/>
      <c r="DN142" s="13"/>
      <c r="DQ142" s="65"/>
      <c r="DR142" s="13"/>
      <c r="DU142" s="65"/>
      <c r="DV142" s="13"/>
      <c r="DY142" s="65"/>
      <c r="DZ142" s="13"/>
      <c r="EA142" s="14"/>
      <c r="EC142" s="65"/>
      <c r="ED142" s="13"/>
      <c r="EE142" s="14"/>
      <c r="EG142" s="65"/>
      <c r="EH142" s="13"/>
      <c r="EI142" s="14"/>
      <c r="EK142" s="65"/>
      <c r="EL142" s="13"/>
      <c r="EM142" s="14"/>
      <c r="EO142" s="65"/>
      <c r="EP142" s="13"/>
      <c r="EQ142" s="14"/>
      <c r="ES142" s="65"/>
      <c r="ET142" s="13"/>
      <c r="EU142" s="14"/>
      <c r="EW142" s="65"/>
      <c r="EX142" s="13"/>
      <c r="EY142" s="14"/>
      <c r="FA142" s="65"/>
      <c r="FB142" s="13"/>
      <c r="FC142" s="14"/>
      <c r="FE142" s="65"/>
      <c r="FF142" s="13"/>
      <c r="FG142" s="14"/>
      <c r="FI142" s="65"/>
      <c r="FJ142" s="13"/>
      <c r="FK142" s="14"/>
      <c r="FM142" s="65"/>
      <c r="FN142" s="13"/>
      <c r="FO142" s="14"/>
      <c r="FQ142" s="65"/>
      <c r="FR142" s="13"/>
      <c r="FS142" s="14"/>
      <c r="FU142" s="65"/>
      <c r="FV142" s="13"/>
      <c r="FW142" s="14"/>
      <c r="FY142" s="65"/>
      <c r="FZ142" s="13"/>
      <c r="GA142" s="14"/>
      <c r="GC142" s="65"/>
      <c r="GD142" s="13"/>
      <c r="GE142" s="14"/>
      <c r="GG142" s="65"/>
      <c r="GH142" s="13"/>
      <c r="GI142" s="14"/>
      <c r="GK142" s="65"/>
      <c r="GL142" s="13"/>
      <c r="GM142" s="14"/>
      <c r="GO142" s="65"/>
      <c r="GP142" s="13"/>
      <c r="GQ142" s="14"/>
      <c r="GS142" s="65"/>
      <c r="GT142" s="13"/>
      <c r="GU142" s="14"/>
      <c r="GW142" s="65"/>
      <c r="GX142" s="13"/>
      <c r="GY142" s="14"/>
      <c r="HA142" s="65"/>
      <c r="HB142" s="13"/>
      <c r="HC142" s="14"/>
      <c r="HE142" s="65"/>
      <c r="HF142" s="13"/>
      <c r="HG142" s="14"/>
      <c r="HI142" s="65"/>
      <c r="HJ142" s="13"/>
      <c r="HK142" s="14"/>
      <c r="HM142" s="65"/>
      <c r="HN142" s="13"/>
      <c r="HO142" s="14"/>
      <c r="HQ142" s="65"/>
      <c r="HR142" s="13"/>
      <c r="HS142" s="14"/>
      <c r="HU142" s="65"/>
      <c r="HV142" s="13"/>
      <c r="HW142" s="14"/>
      <c r="HY142" s="65"/>
      <c r="HZ142" s="13"/>
      <c r="IA142" s="14"/>
      <c r="IC142" s="65"/>
      <c r="ID142" s="13"/>
      <c r="IE142" s="14"/>
      <c r="IG142" s="65"/>
      <c r="IH142" s="13"/>
      <c r="II142" s="14"/>
      <c r="IK142" s="65"/>
      <c r="IL142" s="13"/>
      <c r="IM142" s="14"/>
      <c r="IO142" s="65"/>
      <c r="IP142" s="13"/>
      <c r="IQ142" s="14"/>
      <c r="IS142" s="65"/>
      <c r="IT142" s="13"/>
      <c r="IU142" s="14"/>
      <c r="IW142" s="65"/>
      <c r="IX142" s="13"/>
      <c r="IY142" s="14"/>
      <c r="JA142" s="65"/>
      <c r="JB142" s="13"/>
      <c r="JC142" s="14"/>
      <c r="JE142" s="65"/>
      <c r="JF142" s="13"/>
      <c r="JG142" s="14"/>
      <c r="JI142" s="65"/>
      <c r="JJ142" s="13"/>
      <c r="JK142" s="14"/>
      <c r="JM142" s="65"/>
      <c r="JN142" s="13"/>
      <c r="JO142" s="14"/>
      <c r="JQ142" s="65"/>
      <c r="JR142" s="13"/>
      <c r="JS142" s="14"/>
      <c r="JU142" s="65"/>
      <c r="JV142" s="13"/>
      <c r="JW142" s="14"/>
      <c r="JY142" s="65"/>
      <c r="JZ142" s="13"/>
      <c r="KA142" s="14"/>
      <c r="KC142" s="65"/>
      <c r="KD142" s="13"/>
      <c r="KE142" s="14"/>
      <c r="KG142" s="65"/>
      <c r="KH142" s="13"/>
      <c r="KI142" s="14"/>
      <c r="KK142" s="65"/>
      <c r="KL142" s="13"/>
      <c r="KM142" s="14"/>
      <c r="KO142" s="65"/>
      <c r="KP142" s="13"/>
      <c r="KQ142" s="14"/>
      <c r="KS142" s="65"/>
      <c r="KT142" s="13"/>
      <c r="KU142" s="14"/>
      <c r="KW142" s="65"/>
      <c r="KX142" s="13"/>
      <c r="KY142" s="14"/>
      <c r="LA142" s="65"/>
      <c r="LB142" s="13"/>
      <c r="LC142" s="14"/>
      <c r="LE142" s="65"/>
      <c r="LF142" s="13"/>
      <c r="LG142" s="14"/>
      <c r="LI142" s="65"/>
      <c r="LJ142" s="13"/>
      <c r="LK142" s="14"/>
      <c r="LM142" s="65"/>
      <c r="LN142" s="13"/>
      <c r="LO142" s="14"/>
      <c r="LQ142" s="65"/>
      <c r="LR142" s="13"/>
      <c r="LS142" s="14"/>
      <c r="LU142" s="65"/>
      <c r="LV142" s="13"/>
      <c r="LW142" s="14"/>
      <c r="LY142" s="65"/>
      <c r="LZ142" s="13"/>
      <c r="MA142" s="14"/>
      <c r="MC142" s="65"/>
      <c r="MD142" s="13"/>
      <c r="ME142" s="14"/>
      <c r="MG142" s="65"/>
      <c r="MH142" s="13"/>
      <c r="MI142" s="14"/>
      <c r="MK142" s="65"/>
      <c r="ML142" s="13"/>
      <c r="MM142" s="14"/>
      <c r="MO142" s="65"/>
      <c r="MP142" s="13"/>
      <c r="MQ142" s="14"/>
      <c r="MS142" s="65"/>
      <c r="MT142" s="13"/>
      <c r="MU142" s="14"/>
    </row>
    <row r="143" spans="1:359" hidden="1" x14ac:dyDescent="0.25">
      <c r="A143" s="15">
        <f t="shared" si="192"/>
        <v>0</v>
      </c>
      <c r="B143" s="20">
        <v>42837</v>
      </c>
      <c r="D143" s="12">
        <v>33</v>
      </c>
      <c r="E143" s="12">
        <v>1143264.2203008707</v>
      </c>
      <c r="F143" s="14">
        <v>42567</v>
      </c>
      <c r="I143" s="12"/>
      <c r="J143" s="17"/>
      <c r="N143" s="12"/>
      <c r="O143" s="17"/>
      <c r="T143" s="15"/>
      <c r="U143" s="20"/>
      <c r="W143" s="12"/>
      <c r="X143" s="12"/>
      <c r="Y143" s="14"/>
      <c r="AB143" s="12"/>
      <c r="AC143" s="17"/>
      <c r="AG143" s="12"/>
      <c r="AH143" s="17"/>
      <c r="AK143" s="12"/>
      <c r="AL143" s="13"/>
      <c r="AM143" s="14"/>
      <c r="CK143" s="65"/>
      <c r="CL143" s="13"/>
      <c r="CO143" s="65"/>
      <c r="CP143" s="13"/>
      <c r="CS143" s="65"/>
      <c r="CT143" s="13"/>
      <c r="CW143" s="65"/>
      <c r="CX143" s="13"/>
      <c r="DA143" s="65"/>
      <c r="DB143" s="13"/>
      <c r="DE143" s="65"/>
      <c r="DF143" s="13"/>
      <c r="DI143" s="65"/>
      <c r="DJ143" s="13"/>
      <c r="DM143" s="65"/>
      <c r="DN143" s="13"/>
      <c r="DQ143" s="65"/>
      <c r="DR143" s="13"/>
      <c r="DU143" s="65"/>
      <c r="DV143" s="13"/>
      <c r="DY143" s="65"/>
      <c r="DZ143" s="13"/>
      <c r="EA143" s="14"/>
      <c r="EC143" s="65"/>
      <c r="ED143" s="13"/>
      <c r="EE143" s="14"/>
      <c r="EG143" s="65"/>
      <c r="EH143" s="13"/>
      <c r="EI143" s="14"/>
      <c r="EK143" s="65"/>
      <c r="EL143" s="13"/>
      <c r="EM143" s="14"/>
      <c r="EO143" s="65"/>
      <c r="EP143" s="13"/>
      <c r="EQ143" s="14"/>
      <c r="ES143" s="65"/>
      <c r="ET143" s="13"/>
      <c r="EU143" s="14"/>
      <c r="EW143" s="65"/>
      <c r="EX143" s="13"/>
      <c r="EY143" s="14"/>
      <c r="FA143" s="65"/>
      <c r="FB143" s="13"/>
      <c r="FC143" s="14"/>
      <c r="FE143" s="65"/>
      <c r="FF143" s="13"/>
      <c r="FG143" s="14"/>
      <c r="FI143" s="65"/>
      <c r="FJ143" s="13"/>
      <c r="FK143" s="14"/>
      <c r="FM143" s="65"/>
      <c r="FN143" s="13"/>
      <c r="FO143" s="14"/>
      <c r="FQ143" s="65"/>
      <c r="FR143" s="13"/>
      <c r="FS143" s="14"/>
      <c r="FU143" s="65"/>
      <c r="FV143" s="13"/>
      <c r="FW143" s="14"/>
      <c r="FY143" s="65"/>
      <c r="FZ143" s="13"/>
      <c r="GA143" s="14"/>
      <c r="GC143" s="65"/>
      <c r="GD143" s="13"/>
      <c r="GE143" s="14"/>
      <c r="GG143" s="65"/>
      <c r="GH143" s="13"/>
      <c r="GI143" s="14"/>
      <c r="GK143" s="65"/>
      <c r="GL143" s="13"/>
      <c r="GM143" s="14"/>
      <c r="GO143" s="65"/>
      <c r="GP143" s="13"/>
      <c r="GQ143" s="14"/>
      <c r="GS143" s="65"/>
      <c r="GT143" s="13"/>
      <c r="GU143" s="14"/>
      <c r="GW143" s="65"/>
      <c r="GX143" s="13"/>
      <c r="GY143" s="14"/>
      <c r="HA143" s="65"/>
      <c r="HB143" s="13"/>
      <c r="HC143" s="14"/>
      <c r="HE143" s="65"/>
      <c r="HF143" s="13"/>
      <c r="HG143" s="14"/>
      <c r="HI143" s="65"/>
      <c r="HJ143" s="13"/>
      <c r="HK143" s="14"/>
      <c r="HM143" s="65"/>
      <c r="HN143" s="13"/>
      <c r="HO143" s="14"/>
      <c r="HQ143" s="65"/>
      <c r="HR143" s="13"/>
      <c r="HS143" s="14"/>
      <c r="HU143" s="65"/>
      <c r="HV143" s="13"/>
      <c r="HW143" s="14"/>
      <c r="HY143" s="65"/>
      <c r="HZ143" s="13"/>
      <c r="IA143" s="14"/>
      <c r="IC143" s="65"/>
      <c r="ID143" s="13"/>
      <c r="IE143" s="14"/>
      <c r="IG143" s="65"/>
      <c r="IH143" s="13"/>
      <c r="II143" s="14"/>
      <c r="IK143" s="65"/>
      <c r="IL143" s="13"/>
      <c r="IM143" s="14"/>
      <c r="IO143" s="65"/>
      <c r="IP143" s="13"/>
      <c r="IQ143" s="14"/>
      <c r="IS143" s="65"/>
      <c r="IT143" s="13"/>
      <c r="IU143" s="14"/>
      <c r="IW143" s="65"/>
      <c r="IX143" s="13"/>
      <c r="IY143" s="14"/>
      <c r="JA143" s="65"/>
      <c r="JB143" s="13"/>
      <c r="JC143" s="14"/>
      <c r="JE143" s="65"/>
      <c r="JF143" s="13"/>
      <c r="JG143" s="14"/>
      <c r="JI143" s="65"/>
      <c r="JJ143" s="13"/>
      <c r="JK143" s="14"/>
      <c r="JM143" s="65"/>
      <c r="JN143" s="13"/>
      <c r="JO143" s="14"/>
      <c r="JQ143" s="65"/>
      <c r="JR143" s="13"/>
      <c r="JS143" s="14"/>
      <c r="JU143" s="65"/>
      <c r="JV143" s="13"/>
      <c r="JW143" s="14"/>
      <c r="JY143" s="65"/>
      <c r="JZ143" s="13"/>
      <c r="KA143" s="14"/>
      <c r="KC143" s="65"/>
      <c r="KD143" s="13"/>
      <c r="KE143" s="14"/>
      <c r="KG143" s="65"/>
      <c r="KH143" s="13"/>
      <c r="KI143" s="14"/>
      <c r="KK143" s="65"/>
      <c r="KL143" s="13"/>
      <c r="KM143" s="14"/>
      <c r="KO143" s="65"/>
      <c r="KP143" s="13"/>
      <c r="KQ143" s="14"/>
      <c r="KS143" s="65"/>
      <c r="KT143" s="13"/>
      <c r="KU143" s="14"/>
      <c r="KW143" s="65"/>
      <c r="KX143" s="13"/>
      <c r="KY143" s="14"/>
      <c r="LA143" s="65"/>
      <c r="LB143" s="13"/>
      <c r="LC143" s="14"/>
      <c r="LE143" s="65"/>
      <c r="LF143" s="13"/>
      <c r="LG143" s="14"/>
      <c r="LI143" s="65"/>
      <c r="LJ143" s="13"/>
      <c r="LK143" s="14"/>
      <c r="LM143" s="65"/>
      <c r="LN143" s="13"/>
      <c r="LO143" s="14"/>
      <c r="LQ143" s="65"/>
      <c r="LR143" s="13"/>
      <c r="LS143" s="14"/>
      <c r="LU143" s="65"/>
      <c r="LV143" s="13"/>
      <c r="LW143" s="14"/>
      <c r="LY143" s="65"/>
      <c r="LZ143" s="13"/>
      <c r="MA143" s="14"/>
      <c r="MC143" s="65"/>
      <c r="MD143" s="13"/>
      <c r="ME143" s="14"/>
      <c r="MG143" s="65"/>
      <c r="MH143" s="13"/>
      <c r="MI143" s="14"/>
      <c r="MK143" s="65"/>
      <c r="ML143" s="13"/>
      <c r="MM143" s="14"/>
      <c r="MO143" s="65"/>
      <c r="MP143" s="13"/>
      <c r="MQ143" s="14"/>
      <c r="MS143" s="65"/>
      <c r="MT143" s="13"/>
      <c r="MU143" s="14"/>
    </row>
    <row r="144" spans="1:359" hidden="1" x14ac:dyDescent="0.25">
      <c r="A144" s="15">
        <f t="shared" si="192"/>
        <v>0</v>
      </c>
      <c r="B144" s="20">
        <v>42838</v>
      </c>
      <c r="D144" s="12">
        <v>32</v>
      </c>
      <c r="E144" s="12">
        <v>1143291.4885545645</v>
      </c>
      <c r="F144" s="14">
        <v>42568</v>
      </c>
      <c r="I144" s="12"/>
      <c r="J144" s="17"/>
      <c r="N144" s="12"/>
      <c r="O144" s="17"/>
      <c r="T144" s="15"/>
      <c r="U144" s="20"/>
      <c r="W144" s="12"/>
      <c r="X144" s="12"/>
      <c r="Y144" s="14"/>
      <c r="AB144" s="12"/>
      <c r="AC144" s="17"/>
      <c r="AG144" s="12"/>
      <c r="AH144" s="17"/>
      <c r="AK144" s="12"/>
      <c r="AL144" s="13"/>
      <c r="AM144" s="14"/>
      <c r="CK144" s="65"/>
      <c r="CL144" s="13"/>
      <c r="CO144" s="65"/>
      <c r="CP144" s="13"/>
      <c r="CS144" s="65"/>
      <c r="CT144" s="13"/>
      <c r="CW144" s="65"/>
      <c r="CX144" s="13"/>
      <c r="DA144" s="65"/>
      <c r="DB144" s="13"/>
      <c r="DE144" s="65"/>
      <c r="DF144" s="13"/>
      <c r="DI144" s="65"/>
      <c r="DJ144" s="13"/>
      <c r="DM144" s="65"/>
      <c r="DN144" s="13"/>
      <c r="DQ144" s="65"/>
      <c r="DR144" s="13"/>
      <c r="DU144" s="65"/>
      <c r="DV144" s="13"/>
      <c r="DY144" s="65"/>
      <c r="DZ144" s="13"/>
      <c r="EA144" s="14"/>
      <c r="EC144" s="65"/>
      <c r="ED144" s="13"/>
      <c r="EE144" s="14"/>
      <c r="EG144" s="65"/>
      <c r="EH144" s="13"/>
      <c r="EI144" s="14"/>
      <c r="EK144" s="65"/>
      <c r="EL144" s="13"/>
      <c r="EM144" s="14"/>
      <c r="EO144" s="65"/>
      <c r="EP144" s="13"/>
      <c r="EQ144" s="14"/>
      <c r="ES144" s="65"/>
      <c r="ET144" s="13"/>
      <c r="EU144" s="14"/>
      <c r="EW144" s="65"/>
      <c r="EX144" s="13"/>
      <c r="EY144" s="14"/>
      <c r="FA144" s="65"/>
      <c r="FB144" s="13"/>
      <c r="FC144" s="14"/>
      <c r="FE144" s="65"/>
      <c r="FF144" s="13"/>
      <c r="FG144" s="14"/>
      <c r="FI144" s="65"/>
      <c r="FJ144" s="13"/>
      <c r="FK144" s="14"/>
      <c r="FM144" s="65"/>
      <c r="FN144" s="13"/>
      <c r="FO144" s="14"/>
      <c r="FQ144" s="65"/>
      <c r="FR144" s="13"/>
      <c r="FS144" s="14"/>
      <c r="FU144" s="65"/>
      <c r="FV144" s="13"/>
      <c r="FW144" s="14"/>
      <c r="FY144" s="65"/>
      <c r="FZ144" s="13"/>
      <c r="GA144" s="14"/>
      <c r="GC144" s="65"/>
      <c r="GD144" s="13"/>
      <c r="GE144" s="14"/>
      <c r="GG144" s="65"/>
      <c r="GH144" s="13"/>
      <c r="GI144" s="14"/>
      <c r="GK144" s="65"/>
      <c r="GL144" s="13"/>
      <c r="GM144" s="14"/>
      <c r="GO144" s="65"/>
      <c r="GP144" s="13"/>
      <c r="GQ144" s="14"/>
      <c r="GS144" s="65"/>
      <c r="GT144" s="13"/>
      <c r="GU144" s="14"/>
      <c r="GW144" s="65"/>
      <c r="GX144" s="13"/>
      <c r="GY144" s="14"/>
      <c r="HA144" s="65"/>
      <c r="HB144" s="13"/>
      <c r="HC144" s="14"/>
      <c r="HE144" s="65"/>
      <c r="HF144" s="13"/>
      <c r="HG144" s="14"/>
      <c r="HI144" s="65"/>
      <c r="HJ144" s="13"/>
      <c r="HK144" s="14"/>
      <c r="HM144" s="65"/>
      <c r="HN144" s="13"/>
      <c r="HO144" s="14"/>
      <c r="HQ144" s="65"/>
      <c r="HR144" s="13"/>
      <c r="HS144" s="14"/>
      <c r="HU144" s="65"/>
      <c r="HV144" s="13"/>
      <c r="HW144" s="14"/>
      <c r="HY144" s="65"/>
      <c r="HZ144" s="13"/>
      <c r="IA144" s="14"/>
      <c r="IC144" s="65"/>
      <c r="ID144" s="13"/>
      <c r="IE144" s="14"/>
      <c r="IG144" s="65"/>
      <c r="IH144" s="13"/>
      <c r="II144" s="14"/>
      <c r="IK144" s="65"/>
      <c r="IL144" s="13"/>
      <c r="IM144" s="14"/>
      <c r="IO144" s="65"/>
      <c r="IP144" s="13"/>
      <c r="IQ144" s="14"/>
      <c r="IS144" s="65"/>
      <c r="IT144" s="13"/>
      <c r="IU144" s="14"/>
      <c r="IW144" s="65"/>
      <c r="IX144" s="13"/>
      <c r="IY144" s="14"/>
      <c r="JA144" s="65"/>
      <c r="JB144" s="13"/>
      <c r="JC144" s="14"/>
      <c r="JE144" s="65"/>
      <c r="JF144" s="13"/>
      <c r="JG144" s="14"/>
      <c r="JI144" s="65"/>
      <c r="JJ144" s="13"/>
      <c r="JK144" s="14"/>
      <c r="JM144" s="65"/>
      <c r="JN144" s="13"/>
      <c r="JO144" s="14"/>
      <c r="JQ144" s="65"/>
      <c r="JR144" s="13"/>
      <c r="JS144" s="14"/>
      <c r="JU144" s="65"/>
      <c r="JV144" s="13"/>
      <c r="JW144" s="14"/>
      <c r="JY144" s="65"/>
      <c r="JZ144" s="13"/>
      <c r="KA144" s="14"/>
      <c r="KC144" s="65"/>
      <c r="KD144" s="13"/>
      <c r="KE144" s="14"/>
      <c r="KG144" s="65"/>
      <c r="KH144" s="13"/>
      <c r="KI144" s="14"/>
      <c r="KK144" s="65"/>
      <c r="KL144" s="13"/>
      <c r="KM144" s="14"/>
      <c r="KO144" s="65"/>
      <c r="KP144" s="13"/>
      <c r="KQ144" s="14"/>
      <c r="KS144" s="65"/>
      <c r="KT144" s="13"/>
      <c r="KU144" s="14"/>
      <c r="KW144" s="65"/>
      <c r="KX144" s="13"/>
      <c r="KY144" s="14"/>
      <c r="LA144" s="65"/>
      <c r="LB144" s="13"/>
      <c r="LC144" s="14"/>
      <c r="LE144" s="65"/>
      <c r="LF144" s="13"/>
      <c r="LG144" s="14"/>
      <c r="LI144" s="65"/>
      <c r="LJ144" s="13"/>
      <c r="LK144" s="14"/>
      <c r="LM144" s="65"/>
      <c r="LN144" s="13"/>
      <c r="LO144" s="14"/>
      <c r="LQ144" s="65"/>
      <c r="LR144" s="13"/>
      <c r="LS144" s="14"/>
      <c r="LU144" s="65"/>
      <c r="LV144" s="13"/>
      <c r="LW144" s="14"/>
      <c r="LY144" s="65"/>
      <c r="LZ144" s="13"/>
      <c r="MA144" s="14"/>
      <c r="MC144" s="65"/>
      <c r="MD144" s="13"/>
      <c r="ME144" s="14"/>
      <c r="MG144" s="65"/>
      <c r="MH144" s="13"/>
      <c r="MI144" s="14"/>
      <c r="MK144" s="65"/>
      <c r="ML144" s="13"/>
      <c r="MM144" s="14"/>
      <c r="MO144" s="65"/>
      <c r="MP144" s="13"/>
      <c r="MQ144" s="14"/>
      <c r="MS144" s="65"/>
      <c r="MT144" s="13"/>
      <c r="MU144" s="14"/>
    </row>
    <row r="145" spans="1:359" hidden="1" x14ac:dyDescent="0.25">
      <c r="A145" s="15">
        <f t="shared" si="192"/>
        <v>0</v>
      </c>
      <c r="B145" s="20">
        <v>42839</v>
      </c>
      <c r="C145"/>
      <c r="D145" s="12">
        <v>31</v>
      </c>
      <c r="E145" s="12">
        <v>1143318.7581090517</v>
      </c>
      <c r="F145" s="14">
        <v>42569</v>
      </c>
      <c r="I145" s="12"/>
      <c r="J145" s="17"/>
      <c r="N145" s="12"/>
      <c r="O145" s="17"/>
      <c r="T145" s="15"/>
      <c r="U145" s="20"/>
      <c r="V145" s="36"/>
      <c r="W145" s="12"/>
      <c r="X145" s="12"/>
      <c r="Y145" s="14"/>
      <c r="AB145" s="12"/>
      <c r="AC145" s="17"/>
      <c r="AG145" s="12"/>
      <c r="AH145" s="17"/>
      <c r="AK145" s="12"/>
      <c r="AL145" s="13"/>
      <c r="AM145" s="14"/>
      <c r="CK145" s="65"/>
      <c r="CL145" s="13"/>
      <c r="CO145" s="65"/>
      <c r="CP145" s="13"/>
      <c r="CS145" s="65"/>
      <c r="CT145" s="13"/>
      <c r="CW145" s="65"/>
      <c r="CX145" s="13"/>
      <c r="DA145" s="65"/>
      <c r="DB145" s="13"/>
      <c r="DE145" s="65"/>
      <c r="DF145" s="13"/>
      <c r="DI145" s="65"/>
      <c r="DJ145" s="13"/>
      <c r="DM145" s="65"/>
      <c r="DN145" s="13"/>
      <c r="DQ145" s="65"/>
      <c r="DR145" s="13"/>
      <c r="DU145" s="65"/>
      <c r="DV145" s="13"/>
      <c r="DY145" s="65"/>
      <c r="DZ145" s="13"/>
      <c r="EA145" s="14"/>
      <c r="EC145" s="65"/>
      <c r="ED145" s="13"/>
      <c r="EE145" s="14"/>
      <c r="EG145" s="65"/>
      <c r="EH145" s="13"/>
      <c r="EI145" s="14"/>
      <c r="EK145" s="65"/>
      <c r="EL145" s="13"/>
      <c r="EM145" s="14"/>
      <c r="EO145" s="65"/>
      <c r="EP145" s="13"/>
      <c r="EQ145" s="14"/>
      <c r="ES145" s="65"/>
      <c r="ET145" s="13"/>
      <c r="EU145" s="14"/>
      <c r="EW145" s="65"/>
      <c r="EX145" s="13"/>
      <c r="EY145" s="14"/>
      <c r="FA145" s="65"/>
      <c r="FB145" s="13"/>
      <c r="FC145" s="14"/>
      <c r="FE145" s="65"/>
      <c r="FF145" s="13"/>
      <c r="FG145" s="14"/>
      <c r="FI145" s="65"/>
      <c r="FJ145" s="13"/>
      <c r="FK145" s="14"/>
      <c r="FM145" s="65"/>
      <c r="FN145" s="13"/>
      <c r="FO145" s="14"/>
      <c r="FQ145" s="65"/>
      <c r="FR145" s="13"/>
      <c r="FS145" s="14"/>
      <c r="FU145" s="65"/>
      <c r="FV145" s="13"/>
      <c r="FW145" s="14"/>
      <c r="FY145" s="65"/>
      <c r="FZ145" s="13"/>
      <c r="GA145" s="14"/>
      <c r="GC145" s="65"/>
      <c r="GD145" s="13"/>
      <c r="GE145" s="14"/>
      <c r="GG145" s="65"/>
      <c r="GH145" s="13"/>
      <c r="GI145" s="14"/>
      <c r="GK145" s="65"/>
      <c r="GL145" s="13"/>
      <c r="GM145" s="14"/>
      <c r="GO145" s="65"/>
      <c r="GP145" s="13"/>
      <c r="GQ145" s="14"/>
      <c r="GS145" s="65"/>
      <c r="GT145" s="13"/>
      <c r="GU145" s="14"/>
      <c r="GW145" s="65"/>
      <c r="GX145" s="13"/>
      <c r="GY145" s="14"/>
      <c r="HA145" s="65"/>
      <c r="HB145" s="13"/>
      <c r="HC145" s="14"/>
      <c r="HE145" s="65"/>
      <c r="HF145" s="13"/>
      <c r="HG145" s="14"/>
      <c r="HI145" s="65"/>
      <c r="HJ145" s="13"/>
      <c r="HK145" s="14"/>
      <c r="HM145" s="65"/>
      <c r="HN145" s="13"/>
      <c r="HO145" s="14"/>
      <c r="HQ145" s="65"/>
      <c r="HR145" s="13"/>
      <c r="HS145" s="14"/>
      <c r="HU145" s="65"/>
      <c r="HV145" s="13"/>
      <c r="HW145" s="14"/>
      <c r="HY145" s="65"/>
      <c r="HZ145" s="13"/>
      <c r="IA145" s="14"/>
      <c r="IC145" s="65"/>
      <c r="ID145" s="13"/>
      <c r="IE145" s="14"/>
      <c r="IG145" s="65"/>
      <c r="IH145" s="13"/>
      <c r="II145" s="14"/>
      <c r="IK145" s="65"/>
      <c r="IL145" s="13"/>
      <c r="IM145" s="14"/>
      <c r="IO145" s="65"/>
      <c r="IP145" s="13"/>
      <c r="IQ145" s="14"/>
      <c r="IS145" s="65"/>
      <c r="IT145" s="13"/>
      <c r="IU145" s="14"/>
      <c r="IW145" s="65"/>
      <c r="IX145" s="13"/>
      <c r="IY145" s="14"/>
      <c r="JA145" s="65"/>
      <c r="JB145" s="13"/>
      <c r="JC145" s="14"/>
      <c r="JE145" s="65"/>
      <c r="JF145" s="13"/>
      <c r="JG145" s="14"/>
      <c r="JI145" s="65"/>
      <c r="JJ145" s="13"/>
      <c r="JK145" s="14"/>
      <c r="JM145" s="65"/>
      <c r="JN145" s="13"/>
      <c r="JO145" s="14"/>
      <c r="JQ145" s="65"/>
      <c r="JR145" s="13"/>
      <c r="JS145" s="14"/>
      <c r="JU145" s="65"/>
      <c r="JV145" s="13"/>
      <c r="JW145" s="14"/>
      <c r="JY145" s="65"/>
      <c r="JZ145" s="13"/>
      <c r="KA145" s="14"/>
      <c r="KC145" s="65"/>
      <c r="KD145" s="13"/>
      <c r="KE145" s="14"/>
      <c r="KG145" s="65"/>
      <c r="KH145" s="13"/>
      <c r="KI145" s="14"/>
      <c r="KK145" s="65"/>
      <c r="KL145" s="13"/>
      <c r="KM145" s="14"/>
      <c r="KO145" s="65"/>
      <c r="KP145" s="13"/>
      <c r="KQ145" s="14"/>
      <c r="KS145" s="65"/>
      <c r="KT145" s="13"/>
      <c r="KU145" s="14"/>
      <c r="KW145" s="65"/>
      <c r="KX145" s="13"/>
      <c r="KY145" s="14"/>
      <c r="LA145" s="65"/>
      <c r="LB145" s="13"/>
      <c r="LC145" s="14"/>
      <c r="LE145" s="65"/>
      <c r="LF145" s="13"/>
      <c r="LG145" s="14"/>
      <c r="LI145" s="65"/>
      <c r="LJ145" s="13"/>
      <c r="LK145" s="14"/>
      <c r="LM145" s="65"/>
      <c r="LN145" s="13"/>
      <c r="LO145" s="14"/>
      <c r="LQ145" s="65"/>
      <c r="LR145" s="13"/>
      <c r="LS145" s="14"/>
      <c r="LU145" s="65"/>
      <c r="LV145" s="13"/>
      <c r="LW145" s="14"/>
      <c r="LY145" s="65"/>
      <c r="LZ145" s="13"/>
      <c r="MA145" s="14"/>
      <c r="MC145" s="65"/>
      <c r="MD145" s="13"/>
      <c r="ME145" s="14"/>
      <c r="MG145" s="65"/>
      <c r="MH145" s="13"/>
      <c r="MI145" s="14"/>
      <c r="MK145" s="65"/>
      <c r="ML145" s="13"/>
      <c r="MM145" s="14"/>
      <c r="MO145" s="65"/>
      <c r="MP145" s="13"/>
      <c r="MQ145" s="14"/>
      <c r="MS145" s="65"/>
      <c r="MT145" s="13"/>
      <c r="MU145" s="14"/>
    </row>
    <row r="146" spans="1:359" hidden="1" x14ac:dyDescent="0.25">
      <c r="A146" s="15">
        <f t="shared" si="192"/>
        <v>0</v>
      </c>
      <c r="B146" s="20">
        <v>42840</v>
      </c>
      <c r="C146"/>
      <c r="D146" s="12">
        <v>30</v>
      </c>
      <c r="E146" s="12">
        <v>1143346.0289644259</v>
      </c>
      <c r="F146" s="14">
        <v>42570</v>
      </c>
      <c r="I146" s="12"/>
      <c r="J146" s="17"/>
      <c r="N146" s="12"/>
      <c r="O146" s="17"/>
      <c r="T146" s="15"/>
      <c r="U146" s="20"/>
      <c r="V146" s="36"/>
      <c r="W146" s="12"/>
      <c r="X146" s="12"/>
      <c r="Y146" s="14"/>
      <c r="AB146" s="12"/>
      <c r="AC146" s="17"/>
      <c r="AG146" s="12"/>
      <c r="AH146" s="17"/>
      <c r="AK146" s="12"/>
      <c r="AL146" s="13"/>
      <c r="AM146" s="14"/>
      <c r="CK146" s="65"/>
      <c r="CL146" s="13"/>
      <c r="CO146" s="65"/>
      <c r="CP146" s="13"/>
      <c r="CS146" s="65"/>
      <c r="CT146" s="13"/>
      <c r="CW146" s="65"/>
      <c r="CX146" s="13"/>
      <c r="DA146" s="65"/>
      <c r="DB146" s="13"/>
      <c r="DE146" s="65"/>
      <c r="DF146" s="13"/>
      <c r="DI146" s="65"/>
      <c r="DJ146" s="13"/>
      <c r="DM146" s="65"/>
      <c r="DN146" s="13"/>
      <c r="DQ146" s="65"/>
      <c r="DR146" s="13"/>
      <c r="DU146" s="65"/>
      <c r="DV146" s="13"/>
      <c r="DY146" s="65"/>
      <c r="DZ146" s="13"/>
      <c r="EA146" s="14"/>
      <c r="EC146" s="65"/>
      <c r="ED146" s="13"/>
      <c r="EE146" s="14"/>
      <c r="EG146" s="65"/>
      <c r="EH146" s="13"/>
      <c r="EI146" s="14"/>
      <c r="EK146" s="65"/>
      <c r="EL146" s="13"/>
      <c r="EM146" s="14"/>
      <c r="EO146" s="65"/>
      <c r="EP146" s="13"/>
      <c r="EQ146" s="14"/>
      <c r="ES146" s="65"/>
      <c r="ET146" s="13"/>
      <c r="EU146" s="14"/>
      <c r="EW146" s="65"/>
      <c r="EX146" s="13"/>
      <c r="EY146" s="14"/>
      <c r="FA146" s="65"/>
      <c r="FB146" s="13"/>
      <c r="FC146" s="14"/>
      <c r="FE146" s="65"/>
      <c r="FF146" s="13"/>
      <c r="FG146" s="14"/>
      <c r="FI146" s="65"/>
      <c r="FJ146" s="13"/>
      <c r="FK146" s="14"/>
      <c r="FM146" s="65"/>
      <c r="FN146" s="13"/>
      <c r="FO146" s="14"/>
      <c r="FQ146" s="65"/>
      <c r="FR146" s="13"/>
      <c r="FS146" s="14"/>
      <c r="FU146" s="65"/>
      <c r="FV146" s="13"/>
      <c r="FW146" s="14"/>
      <c r="FY146" s="65"/>
      <c r="FZ146" s="13"/>
      <c r="GA146" s="14"/>
      <c r="GC146" s="65"/>
      <c r="GD146" s="13"/>
      <c r="GE146" s="14"/>
      <c r="GG146" s="65"/>
      <c r="GH146" s="13"/>
      <c r="GI146" s="14"/>
      <c r="GK146" s="65"/>
      <c r="GL146" s="13"/>
      <c r="GM146" s="14"/>
      <c r="GO146" s="65"/>
      <c r="GP146" s="13"/>
      <c r="GQ146" s="14"/>
      <c r="GS146" s="65"/>
      <c r="GT146" s="13"/>
      <c r="GU146" s="14"/>
      <c r="GW146" s="65"/>
      <c r="GX146" s="13"/>
      <c r="GY146" s="14"/>
      <c r="HA146" s="65"/>
      <c r="HB146" s="13"/>
      <c r="HC146" s="14"/>
      <c r="HE146" s="65"/>
      <c r="HF146" s="13"/>
      <c r="HG146" s="14"/>
      <c r="HI146" s="65"/>
      <c r="HJ146" s="13"/>
      <c r="HK146" s="14"/>
      <c r="HM146" s="65"/>
      <c r="HN146" s="13"/>
      <c r="HO146" s="14"/>
      <c r="HQ146" s="65"/>
      <c r="HR146" s="13"/>
      <c r="HS146" s="14"/>
      <c r="HU146" s="65"/>
      <c r="HV146" s="13"/>
      <c r="HW146" s="14"/>
      <c r="HY146" s="65"/>
      <c r="HZ146" s="13"/>
      <c r="IA146" s="14"/>
      <c r="IC146" s="65"/>
      <c r="ID146" s="13"/>
      <c r="IE146" s="14"/>
      <c r="IG146" s="65"/>
      <c r="IH146" s="13"/>
      <c r="II146" s="14"/>
      <c r="IK146" s="65"/>
      <c r="IL146" s="13"/>
      <c r="IM146" s="14"/>
      <c r="IO146" s="65"/>
      <c r="IP146" s="13"/>
      <c r="IQ146" s="14"/>
      <c r="IS146" s="65"/>
      <c r="IT146" s="13"/>
      <c r="IU146" s="14"/>
      <c r="IW146" s="65"/>
      <c r="IX146" s="13"/>
      <c r="IY146" s="14"/>
      <c r="JA146" s="65"/>
      <c r="JB146" s="13"/>
      <c r="JC146" s="14"/>
      <c r="JE146" s="65"/>
      <c r="JF146" s="13"/>
      <c r="JG146" s="14"/>
      <c r="JI146" s="65"/>
      <c r="JJ146" s="13"/>
      <c r="JK146" s="14"/>
      <c r="JM146" s="65"/>
      <c r="JN146" s="13"/>
      <c r="JO146" s="14"/>
      <c r="JQ146" s="65"/>
      <c r="JR146" s="13"/>
      <c r="JS146" s="14"/>
      <c r="JU146" s="65"/>
      <c r="JV146" s="13"/>
      <c r="JW146" s="14"/>
      <c r="JY146" s="65"/>
      <c r="JZ146" s="13"/>
      <c r="KA146" s="14"/>
      <c r="KC146" s="65"/>
      <c r="KD146" s="13"/>
      <c r="KE146" s="14"/>
      <c r="KG146" s="65"/>
      <c r="KH146" s="13"/>
      <c r="KI146" s="14"/>
      <c r="KK146" s="65"/>
      <c r="KL146" s="13"/>
      <c r="KM146" s="14"/>
      <c r="KO146" s="65"/>
      <c r="KP146" s="13"/>
      <c r="KQ146" s="14"/>
      <c r="KS146" s="65"/>
      <c r="KT146" s="13"/>
      <c r="KU146" s="14"/>
      <c r="KW146" s="65"/>
      <c r="KX146" s="13"/>
      <c r="KY146" s="14"/>
      <c r="LA146" s="65"/>
      <c r="LB146" s="13"/>
      <c r="LC146" s="14"/>
      <c r="LE146" s="65"/>
      <c r="LF146" s="13"/>
      <c r="LG146" s="14"/>
      <c r="LI146" s="65"/>
      <c r="LJ146" s="13"/>
      <c r="LK146" s="14"/>
      <c r="LM146" s="65"/>
      <c r="LN146" s="13"/>
      <c r="LO146" s="14"/>
      <c r="LQ146" s="65"/>
      <c r="LR146" s="13"/>
      <c r="LS146" s="14"/>
      <c r="LU146" s="65"/>
      <c r="LV146" s="13"/>
      <c r="LW146" s="14"/>
      <c r="LY146" s="65"/>
      <c r="LZ146" s="13"/>
      <c r="MA146" s="14"/>
      <c r="MC146" s="65"/>
      <c r="MD146" s="13"/>
      <c r="ME146" s="14"/>
      <c r="MG146" s="65"/>
      <c r="MH146" s="13"/>
      <c r="MI146" s="14"/>
      <c r="MK146" s="65"/>
      <c r="ML146" s="13"/>
      <c r="MM146" s="14"/>
      <c r="MO146" s="65"/>
      <c r="MP146" s="13"/>
      <c r="MQ146" s="14"/>
      <c r="MS146" s="65"/>
      <c r="MT146" s="13"/>
      <c r="MU146" s="14"/>
    </row>
    <row r="147" spans="1:359" hidden="1" x14ac:dyDescent="0.25">
      <c r="A147" s="15">
        <f t="shared" si="192"/>
        <v>0</v>
      </c>
      <c r="B147" s="20">
        <v>42841</v>
      </c>
      <c r="C147"/>
      <c r="D147" s="12">
        <v>29</v>
      </c>
      <c r="E147" s="12">
        <v>1143373.3011207795</v>
      </c>
      <c r="F147" s="14">
        <v>42571</v>
      </c>
      <c r="I147" s="12"/>
      <c r="J147" s="17"/>
      <c r="N147" s="12"/>
      <c r="O147" s="17"/>
      <c r="T147" s="15"/>
      <c r="U147" s="20"/>
      <c r="V147" s="36"/>
      <c r="W147" s="12"/>
      <c r="X147" s="12"/>
      <c r="Y147" s="14"/>
      <c r="AB147" s="12"/>
      <c r="AC147" s="17"/>
      <c r="AG147" s="12"/>
      <c r="AH147" s="17"/>
      <c r="AK147" s="12"/>
      <c r="AL147" s="13"/>
      <c r="AM147" s="14"/>
      <c r="CK147" s="65"/>
      <c r="CL147" s="13"/>
      <c r="CO147" s="65"/>
      <c r="CP147" s="13"/>
      <c r="CS147" s="65"/>
      <c r="CT147" s="13"/>
      <c r="CW147" s="65"/>
      <c r="CX147" s="13"/>
      <c r="DA147" s="65"/>
      <c r="DB147" s="13"/>
      <c r="DE147" s="65"/>
      <c r="DF147" s="13"/>
      <c r="DI147" s="65"/>
      <c r="DJ147" s="13"/>
      <c r="DM147" s="65"/>
      <c r="DN147" s="13"/>
      <c r="DQ147" s="65"/>
      <c r="DR147" s="13"/>
      <c r="DU147" s="65"/>
      <c r="DV147" s="13"/>
      <c r="DY147" s="65"/>
      <c r="DZ147" s="13"/>
      <c r="EA147" s="14"/>
      <c r="EC147" s="65"/>
      <c r="ED147" s="13"/>
      <c r="EE147" s="14"/>
      <c r="EG147" s="65"/>
      <c r="EH147" s="13"/>
      <c r="EI147" s="14"/>
      <c r="EK147" s="65"/>
      <c r="EL147" s="13"/>
      <c r="EM147" s="14"/>
      <c r="EO147" s="65"/>
      <c r="EP147" s="13"/>
      <c r="EQ147" s="14"/>
      <c r="ES147" s="65"/>
      <c r="ET147" s="13"/>
      <c r="EU147" s="14"/>
      <c r="EW147" s="65"/>
      <c r="EX147" s="13"/>
      <c r="EY147" s="14"/>
      <c r="FA147" s="65"/>
      <c r="FB147" s="13"/>
      <c r="FC147" s="14"/>
      <c r="FE147" s="65"/>
      <c r="FF147" s="13"/>
      <c r="FG147" s="14"/>
      <c r="FI147" s="65"/>
      <c r="FJ147" s="13"/>
      <c r="FK147" s="14"/>
      <c r="FM147" s="65"/>
      <c r="FN147" s="13"/>
      <c r="FO147" s="14"/>
      <c r="FQ147" s="65"/>
      <c r="FR147" s="13"/>
      <c r="FS147" s="14"/>
      <c r="FU147" s="65"/>
      <c r="FV147" s="13"/>
      <c r="FW147" s="14"/>
      <c r="FY147" s="65"/>
      <c r="FZ147" s="13"/>
      <c r="GA147" s="14"/>
      <c r="GC147" s="65"/>
      <c r="GD147" s="13"/>
      <c r="GE147" s="14"/>
      <c r="GG147" s="65"/>
      <c r="GH147" s="13"/>
      <c r="GI147" s="14"/>
      <c r="GK147" s="65"/>
      <c r="GL147" s="13"/>
      <c r="GM147" s="14"/>
      <c r="GO147" s="65"/>
      <c r="GP147" s="13"/>
      <c r="GQ147" s="14"/>
      <c r="GS147" s="65"/>
      <c r="GT147" s="13"/>
      <c r="GU147" s="14"/>
      <c r="GW147" s="65"/>
      <c r="GX147" s="13"/>
      <c r="GY147" s="14"/>
      <c r="HA147" s="65"/>
      <c r="HB147" s="13"/>
      <c r="HC147" s="14"/>
      <c r="HE147" s="65"/>
      <c r="HF147" s="13"/>
      <c r="HG147" s="14"/>
      <c r="HI147" s="65"/>
      <c r="HJ147" s="13"/>
      <c r="HK147" s="14"/>
      <c r="HM147" s="65"/>
      <c r="HN147" s="13"/>
      <c r="HO147" s="14"/>
      <c r="HQ147" s="65"/>
      <c r="HR147" s="13"/>
      <c r="HS147" s="14"/>
      <c r="HU147" s="65"/>
      <c r="HV147" s="13"/>
      <c r="HW147" s="14"/>
      <c r="HY147" s="65"/>
      <c r="HZ147" s="13"/>
      <c r="IA147" s="14"/>
      <c r="IC147" s="65"/>
      <c r="ID147" s="13"/>
      <c r="IE147" s="14"/>
      <c r="IG147" s="65"/>
      <c r="IH147" s="13"/>
      <c r="II147" s="14"/>
      <c r="IK147" s="65"/>
      <c r="IL147" s="13"/>
      <c r="IM147" s="14"/>
      <c r="IO147" s="65"/>
      <c r="IP147" s="13"/>
      <c r="IQ147" s="14"/>
      <c r="IS147" s="65"/>
      <c r="IT147" s="13"/>
      <c r="IU147" s="14"/>
      <c r="IW147" s="65"/>
      <c r="IX147" s="13"/>
      <c r="IY147" s="14"/>
      <c r="JA147" s="65"/>
      <c r="JB147" s="13"/>
      <c r="JC147" s="14"/>
      <c r="JE147" s="65"/>
      <c r="JF147" s="13"/>
      <c r="JG147" s="14"/>
      <c r="JI147" s="65"/>
      <c r="JJ147" s="13"/>
      <c r="JK147" s="14"/>
      <c r="JM147" s="65"/>
      <c r="JN147" s="13"/>
      <c r="JO147" s="14"/>
      <c r="JQ147" s="65"/>
      <c r="JR147" s="13"/>
      <c r="JS147" s="14"/>
      <c r="JU147" s="65"/>
      <c r="JV147" s="13"/>
      <c r="JW147" s="14"/>
      <c r="JY147" s="65"/>
      <c r="JZ147" s="13"/>
      <c r="KA147" s="14"/>
      <c r="KC147" s="65"/>
      <c r="KD147" s="13"/>
      <c r="KE147" s="14"/>
      <c r="KG147" s="65"/>
      <c r="KH147" s="13"/>
      <c r="KI147" s="14"/>
      <c r="KK147" s="65"/>
      <c r="KL147" s="13"/>
      <c r="KM147" s="14"/>
      <c r="KO147" s="65"/>
      <c r="KP147" s="13"/>
      <c r="KQ147" s="14"/>
      <c r="KS147" s="65"/>
      <c r="KT147" s="13"/>
      <c r="KU147" s="14"/>
      <c r="KW147" s="65"/>
      <c r="KX147" s="13"/>
      <c r="KY147" s="14"/>
      <c r="LA147" s="65"/>
      <c r="LB147" s="13"/>
      <c r="LC147" s="14"/>
      <c r="LE147" s="65"/>
      <c r="LF147" s="13"/>
      <c r="LG147" s="14"/>
      <c r="LI147" s="65"/>
      <c r="LJ147" s="13"/>
      <c r="LK147" s="14"/>
      <c r="LM147" s="65"/>
      <c r="LN147" s="13"/>
      <c r="LO147" s="14"/>
      <c r="LQ147" s="65"/>
      <c r="LR147" s="13"/>
      <c r="LS147" s="14"/>
      <c r="LU147" s="65"/>
      <c r="LV147" s="13"/>
      <c r="LW147" s="14"/>
      <c r="LY147" s="65"/>
      <c r="LZ147" s="13"/>
      <c r="MA147" s="14"/>
      <c r="MC147" s="65"/>
      <c r="MD147" s="13"/>
      <c r="ME147" s="14"/>
      <c r="MG147" s="65"/>
      <c r="MH147" s="13"/>
      <c r="MI147" s="14"/>
      <c r="MK147" s="65"/>
      <c r="ML147" s="13"/>
      <c r="MM147" s="14"/>
      <c r="MO147" s="65"/>
      <c r="MP147" s="13"/>
      <c r="MQ147" s="14"/>
      <c r="MS147" s="65"/>
      <c r="MT147" s="13"/>
      <c r="MU147" s="14"/>
    </row>
    <row r="148" spans="1:359" hidden="1" x14ac:dyDescent="0.25">
      <c r="A148" s="15">
        <f t="shared" si="192"/>
        <v>0</v>
      </c>
      <c r="B148" s="20">
        <v>42842</v>
      </c>
      <c r="C148"/>
      <c r="D148" s="12">
        <v>28</v>
      </c>
      <c r="E148" s="12">
        <v>1143400.5745782061</v>
      </c>
      <c r="F148" s="14">
        <v>42572</v>
      </c>
      <c r="I148" s="12"/>
      <c r="J148" s="17"/>
      <c r="N148" s="12"/>
      <c r="O148" s="17"/>
      <c r="T148" s="15"/>
      <c r="U148" s="20"/>
      <c r="V148" s="36"/>
      <c r="W148" s="12"/>
      <c r="X148" s="12"/>
      <c r="Y148" s="14"/>
      <c r="AB148" s="12"/>
      <c r="AC148" s="17"/>
      <c r="AG148" s="12"/>
      <c r="AH148" s="17"/>
      <c r="AK148" s="12"/>
      <c r="AL148" s="13"/>
      <c r="AM148" s="14"/>
      <c r="CK148" s="65"/>
      <c r="CL148" s="13"/>
      <c r="CO148" s="65"/>
      <c r="CP148" s="13"/>
      <c r="CS148" s="65"/>
      <c r="CT148" s="13"/>
      <c r="CW148" s="65"/>
      <c r="CX148" s="13"/>
      <c r="DA148" s="65"/>
      <c r="DB148" s="13"/>
      <c r="DE148" s="65"/>
      <c r="DF148" s="13"/>
      <c r="DI148" s="65"/>
      <c r="DJ148" s="13"/>
      <c r="DM148" s="65"/>
      <c r="DN148" s="13"/>
      <c r="DQ148" s="65"/>
      <c r="DR148" s="13"/>
      <c r="DU148" s="65"/>
      <c r="DV148" s="13"/>
      <c r="DY148" s="65"/>
      <c r="DZ148" s="13"/>
      <c r="EA148" s="14"/>
      <c r="EC148" s="65"/>
      <c r="ED148" s="13"/>
      <c r="EE148" s="14"/>
      <c r="EG148" s="65"/>
      <c r="EH148" s="13"/>
      <c r="EI148" s="14"/>
      <c r="EK148" s="65"/>
      <c r="EL148" s="13"/>
      <c r="EM148" s="14"/>
      <c r="EO148" s="65"/>
      <c r="EP148" s="13"/>
      <c r="EQ148" s="14"/>
      <c r="ES148" s="65"/>
      <c r="ET148" s="13"/>
      <c r="EU148" s="14"/>
      <c r="EW148" s="65"/>
      <c r="EX148" s="13"/>
      <c r="EY148" s="14"/>
      <c r="FA148" s="65"/>
      <c r="FB148" s="13"/>
      <c r="FC148" s="14"/>
      <c r="FE148" s="65"/>
      <c r="FF148" s="13"/>
      <c r="FG148" s="14"/>
      <c r="FI148" s="65"/>
      <c r="FJ148" s="13"/>
      <c r="FK148" s="14"/>
      <c r="FM148" s="65"/>
      <c r="FN148" s="13"/>
      <c r="FO148" s="14"/>
      <c r="FQ148" s="65"/>
      <c r="FR148" s="13"/>
      <c r="FS148" s="14"/>
      <c r="FU148" s="65"/>
      <c r="FV148" s="13"/>
      <c r="FW148" s="14"/>
      <c r="FY148" s="65"/>
      <c r="FZ148" s="13"/>
      <c r="GA148" s="14"/>
      <c r="GC148" s="65"/>
      <c r="GD148" s="13"/>
      <c r="GE148" s="14"/>
      <c r="GG148" s="65"/>
      <c r="GH148" s="13"/>
      <c r="GI148" s="14"/>
      <c r="GK148" s="65"/>
      <c r="GL148" s="13"/>
      <c r="GM148" s="14"/>
      <c r="GO148" s="65"/>
      <c r="GP148" s="13"/>
      <c r="GQ148" s="14"/>
      <c r="GS148" s="65"/>
      <c r="GT148" s="13"/>
      <c r="GU148" s="14"/>
      <c r="GW148" s="65"/>
      <c r="GX148" s="13"/>
      <c r="GY148" s="14"/>
      <c r="HA148" s="65"/>
      <c r="HB148" s="13"/>
      <c r="HC148" s="14"/>
      <c r="HE148" s="65"/>
      <c r="HF148" s="13"/>
      <c r="HG148" s="14"/>
      <c r="HI148" s="65"/>
      <c r="HJ148" s="13"/>
      <c r="HK148" s="14"/>
      <c r="HM148" s="65"/>
      <c r="HN148" s="13"/>
      <c r="HO148" s="14"/>
      <c r="HQ148" s="65"/>
      <c r="HR148" s="13"/>
      <c r="HS148" s="14"/>
      <c r="HU148" s="65"/>
      <c r="HV148" s="13"/>
      <c r="HW148" s="14"/>
      <c r="HY148" s="65"/>
      <c r="HZ148" s="13"/>
      <c r="IA148" s="14"/>
      <c r="IC148" s="65"/>
      <c r="ID148" s="13"/>
      <c r="IE148" s="14"/>
      <c r="IG148" s="65"/>
      <c r="IH148" s="13"/>
      <c r="II148" s="14"/>
      <c r="IK148" s="65"/>
      <c r="IL148" s="13"/>
      <c r="IM148" s="14"/>
      <c r="IO148" s="65"/>
      <c r="IP148" s="13"/>
      <c r="IQ148" s="14"/>
      <c r="IS148" s="65"/>
      <c r="IT148" s="13"/>
      <c r="IU148" s="14"/>
      <c r="IW148" s="65"/>
      <c r="IX148" s="13"/>
      <c r="IY148" s="14"/>
      <c r="JA148" s="65"/>
      <c r="JB148" s="13"/>
      <c r="JC148" s="14"/>
      <c r="JE148" s="65"/>
      <c r="JF148" s="13"/>
      <c r="JG148" s="14"/>
      <c r="JI148" s="65"/>
      <c r="JJ148" s="13"/>
      <c r="JK148" s="14"/>
      <c r="JM148" s="65"/>
      <c r="JN148" s="13"/>
      <c r="JO148" s="14"/>
      <c r="JQ148" s="65"/>
      <c r="JR148" s="13"/>
      <c r="JS148" s="14"/>
      <c r="JU148" s="65"/>
      <c r="JV148" s="13"/>
      <c r="JW148" s="14"/>
      <c r="JY148" s="65"/>
      <c r="JZ148" s="13"/>
      <c r="KA148" s="14"/>
      <c r="KC148" s="65"/>
      <c r="KD148" s="13"/>
      <c r="KE148" s="14"/>
      <c r="KG148" s="65"/>
      <c r="KH148" s="13"/>
      <c r="KI148" s="14"/>
      <c r="KK148" s="65"/>
      <c r="KL148" s="13"/>
      <c r="KM148" s="14"/>
      <c r="KO148" s="65"/>
      <c r="KP148" s="13"/>
      <c r="KQ148" s="14"/>
      <c r="KS148" s="65"/>
      <c r="KT148" s="13"/>
      <c r="KU148" s="14"/>
      <c r="KW148" s="65"/>
      <c r="KX148" s="13"/>
      <c r="KY148" s="14"/>
      <c r="LA148" s="65"/>
      <c r="LB148" s="13"/>
      <c r="LC148" s="14"/>
      <c r="LE148" s="65"/>
      <c r="LF148" s="13"/>
      <c r="LG148" s="14"/>
      <c r="LI148" s="65"/>
      <c r="LJ148" s="13"/>
      <c r="LK148" s="14"/>
      <c r="LM148" s="65"/>
      <c r="LN148" s="13"/>
      <c r="LO148" s="14"/>
      <c r="LQ148" s="65"/>
      <c r="LR148" s="13"/>
      <c r="LS148" s="14"/>
      <c r="LU148" s="65"/>
      <c r="LV148" s="13"/>
      <c r="LW148" s="14"/>
      <c r="LY148" s="65"/>
      <c r="LZ148" s="13"/>
      <c r="MA148" s="14"/>
      <c r="MC148" s="65"/>
      <c r="MD148" s="13"/>
      <c r="ME148" s="14"/>
      <c r="MG148" s="65"/>
      <c r="MH148" s="13"/>
      <c r="MI148" s="14"/>
      <c r="MK148" s="65"/>
      <c r="ML148" s="13"/>
      <c r="MM148" s="14"/>
      <c r="MO148" s="65"/>
      <c r="MP148" s="13"/>
      <c r="MQ148" s="14"/>
      <c r="MS148" s="65"/>
      <c r="MT148" s="13"/>
      <c r="MU148" s="14"/>
    </row>
    <row r="149" spans="1:359" hidden="1" x14ac:dyDescent="0.25">
      <c r="A149" s="15">
        <f t="shared" si="192"/>
        <v>0</v>
      </c>
      <c r="B149" s="20">
        <v>42843</v>
      </c>
      <c r="C149"/>
      <c r="D149" s="12">
        <v>27</v>
      </c>
      <c r="E149" s="12">
        <v>1143427.8493367985</v>
      </c>
      <c r="F149" s="14">
        <v>42573</v>
      </c>
      <c r="I149" s="12"/>
      <c r="J149" s="17"/>
      <c r="N149" s="12"/>
      <c r="O149" s="17"/>
      <c r="T149" s="15"/>
      <c r="U149" s="20"/>
      <c r="V149" s="36"/>
      <c r="W149" s="12"/>
      <c r="X149" s="12"/>
      <c r="Y149" s="14"/>
      <c r="AB149" s="12"/>
      <c r="AC149" s="17"/>
      <c r="AG149" s="12"/>
      <c r="AH149" s="17"/>
      <c r="AK149" s="12"/>
      <c r="AL149" s="13"/>
      <c r="AM149" s="14"/>
      <c r="CK149" s="65"/>
      <c r="CL149" s="13"/>
      <c r="CO149" s="65"/>
      <c r="CP149" s="13"/>
      <c r="CS149" s="65"/>
      <c r="CT149" s="13"/>
      <c r="CW149" s="65"/>
      <c r="CX149" s="13"/>
      <c r="DA149" s="65"/>
      <c r="DB149" s="13"/>
      <c r="DE149" s="65"/>
      <c r="DF149" s="13"/>
      <c r="DI149" s="65"/>
      <c r="DJ149" s="13"/>
      <c r="DM149" s="65"/>
      <c r="DN149" s="13"/>
      <c r="DQ149" s="65"/>
      <c r="DR149" s="13"/>
      <c r="DU149" s="65"/>
      <c r="DV149" s="13"/>
      <c r="DY149" s="65"/>
      <c r="DZ149" s="13"/>
      <c r="EA149" s="14"/>
      <c r="EC149" s="65"/>
      <c r="ED149" s="13"/>
      <c r="EE149" s="14"/>
      <c r="EG149" s="65"/>
      <c r="EH149" s="13"/>
      <c r="EI149" s="14"/>
      <c r="EK149" s="65"/>
      <c r="EL149" s="13"/>
      <c r="EM149" s="14"/>
      <c r="EO149" s="65"/>
      <c r="EP149" s="13"/>
      <c r="EQ149" s="14"/>
      <c r="ES149" s="65"/>
      <c r="ET149" s="13"/>
      <c r="EU149" s="14"/>
      <c r="EW149" s="65"/>
      <c r="EX149" s="13"/>
      <c r="EY149" s="14"/>
      <c r="FA149" s="65"/>
      <c r="FB149" s="13"/>
      <c r="FC149" s="14"/>
      <c r="FE149" s="65"/>
      <c r="FF149" s="13"/>
      <c r="FG149" s="14"/>
      <c r="FI149" s="65"/>
      <c r="FJ149" s="13"/>
      <c r="FK149" s="14"/>
      <c r="FM149" s="65"/>
      <c r="FN149" s="13"/>
      <c r="FO149" s="14"/>
      <c r="FQ149" s="65"/>
      <c r="FR149" s="13"/>
      <c r="FS149" s="14"/>
      <c r="FU149" s="65"/>
      <c r="FV149" s="13"/>
      <c r="FW149" s="14"/>
      <c r="FY149" s="65"/>
      <c r="FZ149" s="13"/>
      <c r="GA149" s="14"/>
      <c r="GC149" s="65"/>
      <c r="GD149" s="13"/>
      <c r="GE149" s="14"/>
      <c r="GG149" s="65"/>
      <c r="GH149" s="13"/>
      <c r="GI149" s="14"/>
      <c r="GK149" s="65"/>
      <c r="GL149" s="13"/>
      <c r="GM149" s="14"/>
      <c r="GO149" s="65"/>
      <c r="GP149" s="13"/>
      <c r="GQ149" s="14"/>
      <c r="GS149" s="65"/>
      <c r="GT149" s="13"/>
      <c r="GU149" s="14"/>
      <c r="GW149" s="65"/>
      <c r="GX149" s="13"/>
      <c r="GY149" s="14"/>
      <c r="HA149" s="65"/>
      <c r="HB149" s="13"/>
      <c r="HC149" s="14"/>
      <c r="HE149" s="65"/>
      <c r="HF149" s="13"/>
      <c r="HG149" s="14"/>
      <c r="HI149" s="65"/>
      <c r="HJ149" s="13"/>
      <c r="HK149" s="14"/>
      <c r="HM149" s="65"/>
      <c r="HN149" s="13"/>
      <c r="HO149" s="14"/>
      <c r="HQ149" s="65"/>
      <c r="HR149" s="13"/>
      <c r="HS149" s="14"/>
      <c r="HU149" s="65"/>
      <c r="HV149" s="13"/>
      <c r="HW149" s="14"/>
      <c r="HY149" s="65"/>
      <c r="HZ149" s="13"/>
      <c r="IA149" s="14"/>
      <c r="IC149" s="65"/>
      <c r="ID149" s="13"/>
      <c r="IE149" s="14"/>
      <c r="IG149" s="65"/>
      <c r="IH149" s="13"/>
      <c r="II149" s="14"/>
      <c r="IK149" s="65"/>
      <c r="IL149" s="13"/>
      <c r="IM149" s="14"/>
      <c r="IO149" s="65"/>
      <c r="IP149" s="13"/>
      <c r="IQ149" s="14"/>
      <c r="IS149" s="65"/>
      <c r="IT149" s="13"/>
      <c r="IU149" s="14"/>
      <c r="IW149" s="65"/>
      <c r="IX149" s="13"/>
      <c r="IY149" s="14"/>
      <c r="JA149" s="65"/>
      <c r="JB149" s="13"/>
      <c r="JC149" s="14"/>
      <c r="JE149" s="65"/>
      <c r="JF149" s="13"/>
      <c r="JG149" s="14"/>
      <c r="JI149" s="65"/>
      <c r="JJ149" s="13"/>
      <c r="JK149" s="14"/>
      <c r="JM149" s="65"/>
      <c r="JN149" s="13"/>
      <c r="JO149" s="14"/>
      <c r="JQ149" s="65"/>
      <c r="JR149" s="13"/>
      <c r="JS149" s="14"/>
      <c r="JU149" s="65"/>
      <c r="JV149" s="13"/>
      <c r="JW149" s="14"/>
      <c r="JY149" s="65"/>
      <c r="JZ149" s="13"/>
      <c r="KA149" s="14"/>
      <c r="KC149" s="65"/>
      <c r="KD149" s="13"/>
      <c r="KE149" s="14"/>
      <c r="KG149" s="65"/>
      <c r="KH149" s="13"/>
      <c r="KI149" s="14"/>
      <c r="KK149" s="65"/>
      <c r="KL149" s="13"/>
      <c r="KM149" s="14"/>
      <c r="KO149" s="65"/>
      <c r="KP149" s="13"/>
      <c r="KQ149" s="14"/>
      <c r="KS149" s="65"/>
      <c r="KT149" s="13"/>
      <c r="KU149" s="14"/>
      <c r="KW149" s="65"/>
      <c r="KX149" s="13"/>
      <c r="KY149" s="14"/>
      <c r="LA149" s="65"/>
      <c r="LB149" s="13"/>
      <c r="LC149" s="14"/>
      <c r="LE149" s="65"/>
      <c r="LF149" s="13"/>
      <c r="LG149" s="14"/>
      <c r="LI149" s="65"/>
      <c r="LJ149" s="13"/>
      <c r="LK149" s="14"/>
      <c r="LM149" s="65"/>
      <c r="LN149" s="13"/>
      <c r="LO149" s="14"/>
      <c r="LQ149" s="65"/>
      <c r="LR149" s="13"/>
      <c r="LS149" s="14"/>
      <c r="LU149" s="65"/>
      <c r="LV149" s="13"/>
      <c r="LW149" s="14"/>
      <c r="LY149" s="65"/>
      <c r="LZ149" s="13"/>
      <c r="MA149" s="14"/>
      <c r="MC149" s="65"/>
      <c r="MD149" s="13"/>
      <c r="ME149" s="14"/>
      <c r="MG149" s="65"/>
      <c r="MH149" s="13"/>
      <c r="MI149" s="14"/>
      <c r="MK149" s="65"/>
      <c r="ML149" s="13"/>
      <c r="MM149" s="14"/>
      <c r="MO149" s="65"/>
      <c r="MP149" s="13"/>
      <c r="MQ149" s="14"/>
      <c r="MS149" s="65"/>
      <c r="MT149" s="13"/>
      <c r="MU149" s="14"/>
    </row>
    <row r="150" spans="1:359" hidden="1" x14ac:dyDescent="0.25">
      <c r="A150" s="15">
        <f t="shared" si="192"/>
        <v>0</v>
      </c>
      <c r="B150" s="20">
        <v>42844</v>
      </c>
      <c r="C150"/>
      <c r="D150" s="12">
        <v>26</v>
      </c>
      <c r="E150" s="12">
        <v>1143455.1253966503</v>
      </c>
      <c r="F150" s="14">
        <v>42574</v>
      </c>
      <c r="I150" s="12"/>
      <c r="J150" s="17"/>
      <c r="N150" s="12"/>
      <c r="O150" s="17"/>
      <c r="T150" s="15"/>
      <c r="U150" s="20"/>
      <c r="V150" s="36"/>
      <c r="W150" s="12"/>
      <c r="X150" s="12"/>
      <c r="Y150" s="14"/>
      <c r="AB150" s="12"/>
      <c r="AC150" s="17"/>
      <c r="AG150" s="12"/>
      <c r="AH150" s="17"/>
      <c r="AK150" s="12"/>
      <c r="AL150" s="13"/>
      <c r="AM150" s="14"/>
      <c r="CK150" s="65"/>
      <c r="CL150" s="13"/>
      <c r="CO150" s="65"/>
      <c r="CP150" s="13"/>
      <c r="CS150" s="65"/>
      <c r="CT150" s="13"/>
      <c r="CW150" s="65"/>
      <c r="CX150" s="13"/>
      <c r="DA150" s="65"/>
      <c r="DB150" s="13"/>
      <c r="DE150" s="65"/>
      <c r="DF150" s="13"/>
      <c r="DI150" s="65"/>
      <c r="DJ150" s="13"/>
      <c r="DM150" s="65"/>
      <c r="DN150" s="13"/>
      <c r="DQ150" s="65"/>
      <c r="DR150" s="13"/>
      <c r="DU150" s="65"/>
      <c r="DV150" s="13"/>
      <c r="DY150" s="65"/>
      <c r="DZ150" s="13"/>
      <c r="EA150" s="14"/>
      <c r="EC150" s="65"/>
      <c r="ED150" s="13"/>
      <c r="EE150" s="14"/>
      <c r="EG150" s="65"/>
      <c r="EH150" s="13"/>
      <c r="EI150" s="14"/>
      <c r="EK150" s="65"/>
      <c r="EL150" s="13"/>
      <c r="EM150" s="14"/>
      <c r="EO150" s="65"/>
      <c r="EP150" s="13"/>
      <c r="EQ150" s="14"/>
      <c r="ES150" s="65"/>
      <c r="ET150" s="13"/>
      <c r="EU150" s="14"/>
      <c r="EW150" s="65"/>
      <c r="EX150" s="13"/>
      <c r="EY150" s="14"/>
      <c r="FA150" s="65"/>
      <c r="FB150" s="13"/>
      <c r="FC150" s="14"/>
      <c r="FE150" s="65"/>
      <c r="FF150" s="13"/>
      <c r="FG150" s="14"/>
      <c r="FI150" s="65"/>
      <c r="FJ150" s="13"/>
      <c r="FK150" s="14"/>
      <c r="FM150" s="65"/>
      <c r="FN150" s="13"/>
      <c r="FO150" s="14"/>
      <c r="FQ150" s="65"/>
      <c r="FR150" s="13"/>
      <c r="FS150" s="14"/>
      <c r="FU150" s="65"/>
      <c r="FV150" s="13"/>
      <c r="FW150" s="14"/>
      <c r="FY150" s="65"/>
      <c r="FZ150" s="13"/>
      <c r="GA150" s="14"/>
      <c r="GC150" s="65"/>
      <c r="GD150" s="13"/>
      <c r="GE150" s="14"/>
      <c r="GG150" s="65"/>
      <c r="GH150" s="13"/>
      <c r="GI150" s="14"/>
      <c r="GK150" s="65"/>
      <c r="GL150" s="13"/>
      <c r="GM150" s="14"/>
      <c r="GO150" s="65"/>
      <c r="GP150" s="13"/>
      <c r="GQ150" s="14"/>
      <c r="GS150" s="65"/>
      <c r="GT150" s="13"/>
      <c r="GU150" s="14"/>
      <c r="GW150" s="65"/>
      <c r="GX150" s="13"/>
      <c r="GY150" s="14"/>
      <c r="HA150" s="65"/>
      <c r="HB150" s="13"/>
      <c r="HC150" s="14"/>
      <c r="HE150" s="65"/>
      <c r="HF150" s="13"/>
      <c r="HG150" s="14"/>
      <c r="HI150" s="65"/>
      <c r="HJ150" s="13"/>
      <c r="HK150" s="14"/>
      <c r="HM150" s="65"/>
      <c r="HN150" s="13"/>
      <c r="HO150" s="14"/>
      <c r="HQ150" s="65"/>
      <c r="HR150" s="13"/>
      <c r="HS150" s="14"/>
      <c r="HU150" s="65"/>
      <c r="HV150" s="13"/>
      <c r="HW150" s="14"/>
      <c r="HY150" s="65"/>
      <c r="HZ150" s="13"/>
      <c r="IA150" s="14"/>
      <c r="IC150" s="65"/>
      <c r="ID150" s="13"/>
      <c r="IE150" s="14"/>
      <c r="IG150" s="65"/>
      <c r="IH150" s="13"/>
      <c r="II150" s="14"/>
      <c r="IK150" s="65"/>
      <c r="IL150" s="13"/>
      <c r="IM150" s="14"/>
      <c r="IO150" s="65"/>
      <c r="IP150" s="13"/>
      <c r="IQ150" s="14"/>
      <c r="IS150" s="65"/>
      <c r="IT150" s="13"/>
      <c r="IU150" s="14"/>
      <c r="IW150" s="65"/>
      <c r="IX150" s="13"/>
      <c r="IY150" s="14"/>
      <c r="JA150" s="65"/>
      <c r="JB150" s="13"/>
      <c r="JC150" s="14"/>
      <c r="JE150" s="65"/>
      <c r="JF150" s="13"/>
      <c r="JG150" s="14"/>
      <c r="JI150" s="65"/>
      <c r="JJ150" s="13"/>
      <c r="JK150" s="14"/>
      <c r="JM150" s="65"/>
      <c r="JN150" s="13"/>
      <c r="JO150" s="14"/>
      <c r="JQ150" s="65"/>
      <c r="JR150" s="13"/>
      <c r="JS150" s="14"/>
      <c r="JU150" s="65"/>
      <c r="JV150" s="13"/>
      <c r="JW150" s="14"/>
      <c r="JY150" s="65"/>
      <c r="JZ150" s="13"/>
      <c r="KA150" s="14"/>
      <c r="KC150" s="65"/>
      <c r="KD150" s="13"/>
      <c r="KE150" s="14"/>
      <c r="KG150" s="65"/>
      <c r="KH150" s="13"/>
      <c r="KI150" s="14"/>
      <c r="KK150" s="65"/>
      <c r="KL150" s="13"/>
      <c r="KM150" s="14"/>
      <c r="KO150" s="65"/>
      <c r="KP150" s="13"/>
      <c r="KQ150" s="14"/>
      <c r="KS150" s="65"/>
      <c r="KT150" s="13"/>
      <c r="KU150" s="14"/>
      <c r="KW150" s="65"/>
      <c r="KX150" s="13"/>
      <c r="KY150" s="14"/>
      <c r="LA150" s="65"/>
      <c r="LB150" s="13"/>
      <c r="LC150" s="14"/>
      <c r="LE150" s="65"/>
      <c r="LF150" s="13"/>
      <c r="LG150" s="14"/>
      <c r="LI150" s="65"/>
      <c r="LJ150" s="13"/>
      <c r="LK150" s="14"/>
      <c r="LM150" s="65"/>
      <c r="LN150" s="13"/>
      <c r="LO150" s="14"/>
      <c r="LQ150" s="65"/>
      <c r="LR150" s="13"/>
      <c r="LS150" s="14"/>
      <c r="LU150" s="65"/>
      <c r="LV150" s="13"/>
      <c r="LW150" s="14"/>
      <c r="LY150" s="65"/>
      <c r="LZ150" s="13"/>
      <c r="MA150" s="14"/>
      <c r="MC150" s="65"/>
      <c r="MD150" s="13"/>
      <c r="ME150" s="14"/>
      <c r="MG150" s="65"/>
      <c r="MH150" s="13"/>
      <c r="MI150" s="14"/>
      <c r="MK150" s="65"/>
      <c r="ML150" s="13"/>
      <c r="MM150" s="14"/>
      <c r="MO150" s="65"/>
      <c r="MP150" s="13"/>
      <c r="MQ150" s="14"/>
      <c r="MS150" s="65"/>
      <c r="MT150" s="13"/>
      <c r="MU150" s="14"/>
    </row>
    <row r="151" spans="1:359" hidden="1" x14ac:dyDescent="0.25">
      <c r="A151" s="15">
        <f t="shared" si="192"/>
        <v>0</v>
      </c>
      <c r="B151" s="20">
        <v>42845</v>
      </c>
      <c r="C151"/>
      <c r="D151" s="12">
        <v>25</v>
      </c>
      <c r="E151" s="12">
        <v>1143482.4027578542</v>
      </c>
      <c r="F151" s="14">
        <v>42575</v>
      </c>
      <c r="I151" s="12"/>
      <c r="J151" s="17"/>
      <c r="N151" s="12"/>
      <c r="O151" s="17"/>
      <c r="T151" s="15"/>
      <c r="U151" s="20"/>
      <c r="V151" s="36"/>
      <c r="W151" s="12"/>
      <c r="X151" s="12"/>
      <c r="Y151" s="14"/>
      <c r="AB151" s="12"/>
      <c r="AC151" s="17"/>
      <c r="AG151" s="12"/>
      <c r="AH151" s="17"/>
      <c r="AK151" s="12"/>
      <c r="AL151" s="13"/>
      <c r="AM151" s="14"/>
      <c r="CK151" s="65"/>
      <c r="CL151" s="13"/>
      <c r="CO151" s="65"/>
      <c r="CP151" s="13"/>
      <c r="CS151" s="65"/>
      <c r="CT151" s="13"/>
      <c r="CW151" s="65"/>
      <c r="CX151" s="13"/>
      <c r="DA151" s="65"/>
      <c r="DB151" s="13"/>
      <c r="DE151" s="65"/>
      <c r="DF151" s="13"/>
      <c r="DI151" s="65"/>
      <c r="DJ151" s="13"/>
      <c r="DM151" s="65"/>
      <c r="DN151" s="13"/>
      <c r="DQ151" s="65"/>
      <c r="DR151" s="13"/>
      <c r="DU151" s="65"/>
      <c r="DV151" s="13"/>
      <c r="DY151" s="65"/>
      <c r="DZ151" s="13"/>
      <c r="EA151" s="14"/>
      <c r="EC151" s="65"/>
      <c r="ED151" s="13"/>
      <c r="EE151" s="14"/>
      <c r="EG151" s="65"/>
      <c r="EH151" s="13"/>
      <c r="EI151" s="14"/>
      <c r="EK151" s="65"/>
      <c r="EL151" s="13"/>
      <c r="EM151" s="14"/>
      <c r="EO151" s="65"/>
      <c r="EP151" s="13"/>
      <c r="EQ151" s="14"/>
      <c r="ES151" s="65"/>
      <c r="ET151" s="13"/>
      <c r="EU151" s="14"/>
      <c r="EW151" s="65"/>
      <c r="EX151" s="13"/>
      <c r="EY151" s="14"/>
      <c r="FA151" s="65"/>
      <c r="FB151" s="13"/>
      <c r="FC151" s="14"/>
      <c r="FE151" s="65"/>
      <c r="FF151" s="13"/>
      <c r="FG151" s="14"/>
      <c r="FI151" s="65"/>
      <c r="FJ151" s="13"/>
      <c r="FK151" s="14"/>
      <c r="FM151" s="65"/>
      <c r="FN151" s="13"/>
      <c r="FO151" s="14"/>
      <c r="FQ151" s="65"/>
      <c r="FR151" s="13"/>
      <c r="FS151" s="14"/>
      <c r="FU151" s="65"/>
      <c r="FV151" s="13"/>
      <c r="FW151" s="14"/>
      <c r="FY151" s="65"/>
      <c r="FZ151" s="13"/>
      <c r="GA151" s="14"/>
      <c r="GC151" s="65"/>
      <c r="GD151" s="13"/>
      <c r="GE151" s="14"/>
      <c r="GG151" s="65"/>
      <c r="GH151" s="13"/>
      <c r="GI151" s="14"/>
      <c r="GK151" s="65"/>
      <c r="GL151" s="13"/>
      <c r="GM151" s="14"/>
      <c r="GO151" s="65"/>
      <c r="GP151" s="13"/>
      <c r="GQ151" s="14"/>
      <c r="GS151" s="65"/>
      <c r="GT151" s="13"/>
      <c r="GU151" s="14"/>
      <c r="GW151" s="65"/>
      <c r="GX151" s="13"/>
      <c r="GY151" s="14"/>
      <c r="HA151" s="65"/>
      <c r="HB151" s="13"/>
      <c r="HC151" s="14"/>
      <c r="HE151" s="65"/>
      <c r="HF151" s="13"/>
      <c r="HG151" s="14"/>
      <c r="HI151" s="65"/>
      <c r="HJ151" s="13"/>
      <c r="HK151" s="14"/>
      <c r="HM151" s="65"/>
      <c r="HN151" s="13"/>
      <c r="HO151" s="14"/>
      <c r="HQ151" s="65"/>
      <c r="HR151" s="13"/>
      <c r="HS151" s="14"/>
      <c r="HU151" s="65"/>
      <c r="HV151" s="13"/>
      <c r="HW151" s="14"/>
      <c r="HY151" s="65"/>
      <c r="HZ151" s="13"/>
      <c r="IA151" s="14"/>
      <c r="IC151" s="65"/>
      <c r="ID151" s="13"/>
      <c r="IE151" s="14"/>
      <c r="IG151" s="65"/>
      <c r="IH151" s="13"/>
      <c r="II151" s="14"/>
      <c r="IK151" s="65"/>
      <c r="IL151" s="13"/>
      <c r="IM151" s="14"/>
      <c r="IO151" s="65"/>
      <c r="IP151" s="13"/>
      <c r="IQ151" s="14"/>
      <c r="IS151" s="65"/>
      <c r="IT151" s="13"/>
      <c r="IU151" s="14"/>
      <c r="IW151" s="65"/>
      <c r="IX151" s="13"/>
      <c r="IY151" s="14"/>
      <c r="JA151" s="65"/>
      <c r="JB151" s="13"/>
      <c r="JC151" s="14"/>
      <c r="JE151" s="65"/>
      <c r="JF151" s="13"/>
      <c r="JG151" s="14"/>
      <c r="JI151" s="65"/>
      <c r="JJ151" s="13"/>
      <c r="JK151" s="14"/>
      <c r="JM151" s="65"/>
      <c r="JN151" s="13"/>
      <c r="JO151" s="14"/>
      <c r="JQ151" s="65"/>
      <c r="JR151" s="13"/>
      <c r="JS151" s="14"/>
      <c r="JU151" s="65"/>
      <c r="JV151" s="13"/>
      <c r="JW151" s="14"/>
      <c r="JY151" s="65"/>
      <c r="JZ151" s="13"/>
      <c r="KA151" s="14"/>
      <c r="KC151" s="65"/>
      <c r="KD151" s="13"/>
      <c r="KE151" s="14"/>
      <c r="KG151" s="65"/>
      <c r="KH151" s="13"/>
      <c r="KI151" s="14"/>
      <c r="KK151" s="65"/>
      <c r="KL151" s="13"/>
      <c r="KM151" s="14"/>
      <c r="KO151" s="65"/>
      <c r="KP151" s="13"/>
      <c r="KQ151" s="14"/>
      <c r="KS151" s="65"/>
      <c r="KT151" s="13"/>
      <c r="KU151" s="14"/>
      <c r="KW151" s="65"/>
      <c r="KX151" s="13"/>
      <c r="KY151" s="14"/>
      <c r="LA151" s="65"/>
      <c r="LB151" s="13"/>
      <c r="LC151" s="14"/>
      <c r="LE151" s="65"/>
      <c r="LF151" s="13"/>
      <c r="LG151" s="14"/>
      <c r="LI151" s="65"/>
      <c r="LJ151" s="13"/>
      <c r="LK151" s="14"/>
      <c r="LM151" s="65"/>
      <c r="LN151" s="13"/>
      <c r="LO151" s="14"/>
      <c r="LQ151" s="65"/>
      <c r="LR151" s="13"/>
      <c r="LS151" s="14"/>
      <c r="LU151" s="65"/>
      <c r="LV151" s="13"/>
      <c r="LW151" s="14"/>
      <c r="LY151" s="65"/>
      <c r="LZ151" s="13"/>
      <c r="MA151" s="14"/>
      <c r="MC151" s="65"/>
      <c r="MD151" s="13"/>
      <c r="ME151" s="14"/>
      <c r="MG151" s="65"/>
      <c r="MH151" s="13"/>
      <c r="MI151" s="14"/>
      <c r="MK151" s="65"/>
      <c r="ML151" s="13"/>
      <c r="MM151" s="14"/>
      <c r="MO151" s="65"/>
      <c r="MP151" s="13"/>
      <c r="MQ151" s="14"/>
      <c r="MS151" s="65"/>
      <c r="MT151" s="13"/>
      <c r="MU151" s="14"/>
    </row>
    <row r="152" spans="1:359" hidden="1" x14ac:dyDescent="0.25">
      <c r="A152" s="15">
        <f t="shared" si="192"/>
        <v>0</v>
      </c>
      <c r="B152" s="20">
        <v>42846</v>
      </c>
      <c r="C152"/>
      <c r="D152" s="12">
        <v>24</v>
      </c>
      <c r="E152" s="12">
        <v>1143509.6814205036</v>
      </c>
      <c r="F152" s="14">
        <v>42576</v>
      </c>
      <c r="I152" s="12"/>
      <c r="J152" s="17"/>
      <c r="N152" s="12"/>
      <c r="O152" s="17"/>
      <c r="T152" s="15"/>
      <c r="U152" s="20"/>
      <c r="V152" s="36"/>
      <c r="W152" s="12"/>
      <c r="X152" s="12"/>
      <c r="Y152" s="14"/>
      <c r="AB152" s="12"/>
      <c r="AC152" s="17"/>
      <c r="AG152" s="12"/>
      <c r="AH152" s="17"/>
      <c r="AK152" s="12"/>
      <c r="AL152" s="13"/>
      <c r="AM152" s="14"/>
      <c r="CK152" s="65"/>
      <c r="CL152" s="13"/>
      <c r="CO152" s="65"/>
      <c r="CP152" s="13"/>
      <c r="CS152" s="65"/>
      <c r="CT152" s="13"/>
      <c r="CW152" s="65"/>
      <c r="CX152" s="13"/>
      <c r="DA152" s="65"/>
      <c r="DB152" s="13"/>
      <c r="DE152" s="65"/>
      <c r="DF152" s="13"/>
      <c r="DI152" s="65"/>
      <c r="DJ152" s="13"/>
      <c r="DM152" s="65"/>
      <c r="DN152" s="13"/>
      <c r="DQ152" s="65"/>
      <c r="DR152" s="13"/>
      <c r="DU152" s="65"/>
      <c r="DV152" s="13"/>
      <c r="DY152" s="65"/>
      <c r="DZ152" s="13"/>
      <c r="EA152" s="14"/>
      <c r="EC152" s="65"/>
      <c r="ED152" s="13"/>
      <c r="EE152" s="14"/>
      <c r="EG152" s="65"/>
      <c r="EH152" s="13"/>
      <c r="EI152" s="14"/>
      <c r="EK152" s="65"/>
      <c r="EL152" s="13"/>
      <c r="EM152" s="14"/>
      <c r="EO152" s="65"/>
      <c r="EP152" s="13"/>
      <c r="EQ152" s="14"/>
      <c r="ES152" s="65"/>
      <c r="ET152" s="13"/>
      <c r="EU152" s="14"/>
      <c r="EW152" s="65"/>
      <c r="EX152" s="13"/>
      <c r="EY152" s="14"/>
      <c r="FA152" s="65"/>
      <c r="FB152" s="13"/>
      <c r="FC152" s="14"/>
      <c r="FE152" s="65"/>
      <c r="FF152" s="13"/>
      <c r="FG152" s="14"/>
      <c r="FI152" s="65"/>
      <c r="FJ152" s="13"/>
      <c r="FK152" s="14"/>
      <c r="FM152" s="65"/>
      <c r="FN152" s="13"/>
      <c r="FO152" s="14"/>
      <c r="FQ152" s="65"/>
      <c r="FR152" s="13"/>
      <c r="FS152" s="14"/>
      <c r="FU152" s="65"/>
      <c r="FV152" s="13"/>
      <c r="FW152" s="14"/>
      <c r="FY152" s="65"/>
      <c r="FZ152" s="13"/>
      <c r="GA152" s="14"/>
      <c r="GC152" s="65"/>
      <c r="GD152" s="13"/>
      <c r="GE152" s="14"/>
      <c r="GG152" s="65"/>
      <c r="GH152" s="13"/>
      <c r="GI152" s="14"/>
      <c r="GK152" s="65"/>
      <c r="GL152" s="13"/>
      <c r="GM152" s="14"/>
      <c r="GO152" s="65"/>
      <c r="GP152" s="13"/>
      <c r="GQ152" s="14"/>
      <c r="GS152" s="65"/>
      <c r="GT152" s="13"/>
      <c r="GU152" s="14"/>
      <c r="GW152" s="65"/>
      <c r="GX152" s="13"/>
      <c r="GY152" s="14"/>
      <c r="HA152" s="65"/>
      <c r="HB152" s="13"/>
      <c r="HC152" s="14"/>
      <c r="HE152" s="65"/>
      <c r="HF152" s="13"/>
      <c r="HG152" s="14"/>
      <c r="HI152" s="65"/>
      <c r="HJ152" s="13"/>
      <c r="HK152" s="14"/>
      <c r="HM152" s="65"/>
      <c r="HN152" s="13"/>
      <c r="HO152" s="14"/>
      <c r="HQ152" s="65"/>
      <c r="HR152" s="13"/>
      <c r="HS152" s="14"/>
      <c r="HU152" s="65"/>
      <c r="HV152" s="13"/>
      <c r="HW152" s="14"/>
      <c r="HY152" s="65"/>
      <c r="HZ152" s="13"/>
      <c r="IA152" s="14"/>
      <c r="IC152" s="65"/>
      <c r="ID152" s="13"/>
      <c r="IE152" s="14"/>
      <c r="IG152" s="65"/>
      <c r="IH152" s="13"/>
      <c r="II152" s="14"/>
      <c r="IK152" s="65"/>
      <c r="IL152" s="13"/>
      <c r="IM152" s="14"/>
      <c r="IO152" s="65"/>
      <c r="IP152" s="13"/>
      <c r="IQ152" s="14"/>
      <c r="IS152" s="65"/>
      <c r="IT152" s="13"/>
      <c r="IU152" s="14"/>
      <c r="IW152" s="65"/>
      <c r="IX152" s="13"/>
      <c r="IY152" s="14"/>
      <c r="JA152" s="65"/>
      <c r="JB152" s="13"/>
      <c r="JC152" s="14"/>
      <c r="JE152" s="65"/>
      <c r="JF152" s="13"/>
      <c r="JG152" s="14"/>
      <c r="JI152" s="65"/>
      <c r="JJ152" s="13"/>
      <c r="JK152" s="14"/>
      <c r="JM152" s="65"/>
      <c r="JN152" s="13"/>
      <c r="JO152" s="14"/>
      <c r="JQ152" s="65"/>
      <c r="JR152" s="13"/>
      <c r="JS152" s="14"/>
      <c r="JU152" s="65"/>
      <c r="JV152" s="13"/>
      <c r="JW152" s="14"/>
      <c r="JY152" s="65"/>
      <c r="JZ152" s="13"/>
      <c r="KA152" s="14"/>
      <c r="KC152" s="65"/>
      <c r="KD152" s="13"/>
      <c r="KE152" s="14"/>
      <c r="KG152" s="65"/>
      <c r="KH152" s="13"/>
      <c r="KI152" s="14"/>
      <c r="KK152" s="65"/>
      <c r="KL152" s="13"/>
      <c r="KM152" s="14"/>
      <c r="KO152" s="65"/>
      <c r="KP152" s="13"/>
      <c r="KQ152" s="14"/>
      <c r="KS152" s="65"/>
      <c r="KT152" s="13"/>
      <c r="KU152" s="14"/>
      <c r="KW152" s="65"/>
      <c r="KX152" s="13"/>
      <c r="KY152" s="14"/>
      <c r="LA152" s="65"/>
      <c r="LB152" s="13"/>
      <c r="LC152" s="14"/>
      <c r="LE152" s="65"/>
      <c r="LF152" s="13"/>
      <c r="LG152" s="14"/>
      <c r="LI152" s="65"/>
      <c r="LJ152" s="13"/>
      <c r="LK152" s="14"/>
      <c r="LM152" s="65"/>
      <c r="LN152" s="13"/>
      <c r="LO152" s="14"/>
      <c r="LQ152" s="65"/>
      <c r="LR152" s="13"/>
      <c r="LS152" s="14"/>
      <c r="LU152" s="65"/>
      <c r="LV152" s="13"/>
      <c r="LW152" s="14"/>
      <c r="LY152" s="65"/>
      <c r="LZ152" s="13"/>
      <c r="MA152" s="14"/>
      <c r="MC152" s="65"/>
      <c r="MD152" s="13"/>
      <c r="ME152" s="14"/>
      <c r="MG152" s="65"/>
      <c r="MH152" s="13"/>
      <c r="MI152" s="14"/>
      <c r="MK152" s="65"/>
      <c r="ML152" s="13"/>
      <c r="MM152" s="14"/>
      <c r="MO152" s="65"/>
      <c r="MP152" s="13"/>
      <c r="MQ152" s="14"/>
      <c r="MS152" s="65"/>
      <c r="MT152" s="13"/>
      <c r="MU152" s="14"/>
    </row>
    <row r="153" spans="1:359" hidden="1" x14ac:dyDescent="0.25">
      <c r="A153" s="15">
        <f t="shared" si="192"/>
        <v>0</v>
      </c>
      <c r="B153" s="20">
        <v>42847</v>
      </c>
      <c r="C153"/>
      <c r="D153" s="12">
        <v>23</v>
      </c>
      <c r="E153" s="12">
        <v>1143536.9613846915</v>
      </c>
      <c r="F153" s="14">
        <v>42577</v>
      </c>
      <c r="I153" s="12"/>
      <c r="J153" s="17"/>
      <c r="N153" s="12"/>
      <c r="O153" s="17"/>
      <c r="T153" s="15"/>
      <c r="U153" s="20"/>
      <c r="V153" s="36"/>
      <c r="W153" s="12"/>
      <c r="X153" s="12"/>
      <c r="Y153" s="14"/>
      <c r="AB153" s="12"/>
      <c r="AC153" s="17"/>
      <c r="AG153" s="12"/>
      <c r="AH153" s="17"/>
      <c r="AK153" s="12"/>
      <c r="AL153" s="13"/>
      <c r="AM153" s="14"/>
      <c r="CK153" s="65"/>
      <c r="CL153" s="13"/>
      <c r="CO153" s="65"/>
      <c r="CP153" s="13"/>
      <c r="CS153" s="65"/>
      <c r="CT153" s="13"/>
      <c r="CW153" s="65"/>
      <c r="CX153" s="13"/>
      <c r="DA153" s="65"/>
      <c r="DB153" s="13"/>
      <c r="DE153" s="65"/>
      <c r="DF153" s="13"/>
      <c r="DI153" s="65"/>
      <c r="DJ153" s="13"/>
      <c r="DM153" s="65"/>
      <c r="DN153" s="13"/>
      <c r="DQ153" s="65"/>
      <c r="DR153" s="13"/>
      <c r="DU153" s="65"/>
      <c r="DV153" s="13"/>
      <c r="DY153" s="65"/>
      <c r="DZ153" s="13"/>
      <c r="EA153" s="14"/>
      <c r="EC153" s="65"/>
      <c r="ED153" s="13"/>
      <c r="EE153" s="14"/>
      <c r="EG153" s="65"/>
      <c r="EH153" s="13"/>
      <c r="EI153" s="14"/>
      <c r="EK153" s="65"/>
      <c r="EL153" s="13"/>
      <c r="EM153" s="14"/>
      <c r="EO153" s="65"/>
      <c r="EP153" s="13"/>
      <c r="EQ153" s="14"/>
      <c r="ES153" s="65"/>
      <c r="ET153" s="13"/>
      <c r="EU153" s="14"/>
      <c r="EW153" s="65"/>
      <c r="EX153" s="13"/>
      <c r="EY153" s="14"/>
      <c r="FA153" s="65"/>
      <c r="FB153" s="13"/>
      <c r="FC153" s="14"/>
      <c r="FE153" s="65"/>
      <c r="FF153" s="13"/>
      <c r="FG153" s="14"/>
      <c r="FI153" s="65"/>
      <c r="FJ153" s="13"/>
      <c r="FK153" s="14"/>
      <c r="FM153" s="65"/>
      <c r="FN153" s="13"/>
      <c r="FO153" s="14"/>
      <c r="FQ153" s="65"/>
      <c r="FR153" s="13"/>
      <c r="FS153" s="14"/>
      <c r="FU153" s="65"/>
      <c r="FV153" s="13"/>
      <c r="FW153" s="14"/>
      <c r="FY153" s="65"/>
      <c r="FZ153" s="13"/>
      <c r="GA153" s="14"/>
      <c r="GC153" s="65"/>
      <c r="GD153" s="13"/>
      <c r="GE153" s="14"/>
      <c r="GG153" s="65"/>
      <c r="GH153" s="13"/>
      <c r="GI153" s="14"/>
      <c r="GK153" s="65"/>
      <c r="GL153" s="13"/>
      <c r="GM153" s="14"/>
      <c r="GO153" s="65"/>
      <c r="GP153" s="13"/>
      <c r="GQ153" s="14"/>
      <c r="GS153" s="65"/>
      <c r="GT153" s="13"/>
      <c r="GU153" s="14"/>
      <c r="GW153" s="65"/>
      <c r="GX153" s="13"/>
      <c r="GY153" s="14"/>
      <c r="HA153" s="65"/>
      <c r="HB153" s="13"/>
      <c r="HC153" s="14"/>
      <c r="HE153" s="65"/>
      <c r="HF153" s="13"/>
      <c r="HG153" s="14"/>
      <c r="HI153" s="65"/>
      <c r="HJ153" s="13"/>
      <c r="HK153" s="14"/>
      <c r="HM153" s="65"/>
      <c r="HN153" s="13"/>
      <c r="HO153" s="14"/>
      <c r="HQ153" s="65"/>
      <c r="HR153" s="13"/>
      <c r="HS153" s="14"/>
      <c r="HU153" s="65"/>
      <c r="HV153" s="13"/>
      <c r="HW153" s="14"/>
      <c r="HY153" s="65"/>
      <c r="HZ153" s="13"/>
      <c r="IA153" s="14"/>
      <c r="IC153" s="65"/>
      <c r="ID153" s="13"/>
      <c r="IE153" s="14"/>
      <c r="IG153" s="65"/>
      <c r="IH153" s="13"/>
      <c r="II153" s="14"/>
      <c r="IK153" s="65"/>
      <c r="IL153" s="13"/>
      <c r="IM153" s="14"/>
      <c r="IO153" s="65"/>
      <c r="IP153" s="13"/>
      <c r="IQ153" s="14"/>
      <c r="IS153" s="65"/>
      <c r="IT153" s="13"/>
      <c r="IU153" s="14"/>
      <c r="IW153" s="65"/>
      <c r="IX153" s="13"/>
      <c r="IY153" s="14"/>
      <c r="JA153" s="65"/>
      <c r="JB153" s="13"/>
      <c r="JC153" s="14"/>
      <c r="JE153" s="65"/>
      <c r="JF153" s="13"/>
      <c r="JG153" s="14"/>
      <c r="JI153" s="65"/>
      <c r="JJ153" s="13"/>
      <c r="JK153" s="14"/>
      <c r="JM153" s="65"/>
      <c r="JN153" s="13"/>
      <c r="JO153" s="14"/>
      <c r="JQ153" s="65"/>
      <c r="JR153" s="13"/>
      <c r="JS153" s="14"/>
      <c r="JU153" s="65"/>
      <c r="JV153" s="13"/>
      <c r="JW153" s="14"/>
      <c r="JY153" s="65"/>
      <c r="JZ153" s="13"/>
      <c r="KA153" s="14"/>
      <c r="KC153" s="65"/>
      <c r="KD153" s="13"/>
      <c r="KE153" s="14"/>
      <c r="KG153" s="65"/>
      <c r="KH153" s="13"/>
      <c r="KI153" s="14"/>
      <c r="KK153" s="65"/>
      <c r="KL153" s="13"/>
      <c r="KM153" s="14"/>
      <c r="KO153" s="65"/>
      <c r="KP153" s="13"/>
      <c r="KQ153" s="14"/>
      <c r="KS153" s="65"/>
      <c r="KT153" s="13"/>
      <c r="KU153" s="14"/>
      <c r="KW153" s="65"/>
      <c r="KX153" s="13"/>
      <c r="KY153" s="14"/>
      <c r="LA153" s="65"/>
      <c r="LB153" s="13"/>
      <c r="LC153" s="14"/>
      <c r="LE153" s="65"/>
      <c r="LF153" s="13"/>
      <c r="LG153" s="14"/>
      <c r="LI153" s="65"/>
      <c r="LJ153" s="13"/>
      <c r="LK153" s="14"/>
      <c r="LM153" s="65"/>
      <c r="LN153" s="13"/>
      <c r="LO153" s="14"/>
      <c r="LQ153" s="65"/>
      <c r="LR153" s="13"/>
      <c r="LS153" s="14"/>
      <c r="LU153" s="65"/>
      <c r="LV153" s="13"/>
      <c r="LW153" s="14"/>
      <c r="LY153" s="65"/>
      <c r="LZ153" s="13"/>
      <c r="MA153" s="14"/>
      <c r="MC153" s="65"/>
      <c r="MD153" s="13"/>
      <c r="ME153" s="14"/>
      <c r="MG153" s="65"/>
      <c r="MH153" s="13"/>
      <c r="MI153" s="14"/>
      <c r="MK153" s="65"/>
      <c r="ML153" s="13"/>
      <c r="MM153" s="14"/>
      <c r="MO153" s="65"/>
      <c r="MP153" s="13"/>
      <c r="MQ153" s="14"/>
      <c r="MS153" s="65"/>
      <c r="MT153" s="13"/>
      <c r="MU153" s="14"/>
    </row>
    <row r="154" spans="1:359" hidden="1" x14ac:dyDescent="0.25">
      <c r="A154" s="15">
        <f t="shared" si="192"/>
        <v>0</v>
      </c>
      <c r="B154" s="20">
        <v>42848</v>
      </c>
      <c r="C154"/>
      <c r="D154" s="12">
        <v>22</v>
      </c>
      <c r="E154" s="12">
        <v>1143564.2426505107</v>
      </c>
      <c r="F154" s="14">
        <v>42578</v>
      </c>
      <c r="I154" s="12"/>
      <c r="J154" s="17"/>
      <c r="N154" s="12"/>
      <c r="O154" s="17"/>
      <c r="T154" s="15"/>
      <c r="U154" s="20"/>
      <c r="V154" s="36"/>
      <c r="W154" s="12"/>
      <c r="X154" s="12"/>
      <c r="Y154" s="14"/>
      <c r="AB154" s="12"/>
      <c r="AC154" s="17"/>
      <c r="AG154" s="12"/>
      <c r="AH154" s="17"/>
      <c r="AK154" s="12"/>
      <c r="AL154" s="13"/>
      <c r="AM154" s="14"/>
      <c r="CK154" s="65"/>
      <c r="CL154" s="13"/>
      <c r="CO154" s="65"/>
      <c r="CP154" s="13"/>
      <c r="CS154" s="65"/>
      <c r="CT154" s="13"/>
      <c r="CW154" s="65"/>
      <c r="CX154" s="13"/>
      <c r="DA154" s="65"/>
      <c r="DB154" s="13"/>
      <c r="DE154" s="65"/>
      <c r="DF154" s="13"/>
      <c r="DI154" s="65"/>
      <c r="DJ154" s="13"/>
      <c r="DM154" s="65"/>
      <c r="DN154" s="13"/>
      <c r="DQ154" s="65"/>
      <c r="DR154" s="13"/>
      <c r="DU154" s="65"/>
      <c r="DV154" s="13"/>
      <c r="DY154" s="65"/>
      <c r="DZ154" s="13"/>
      <c r="EA154" s="14"/>
      <c r="EC154" s="65"/>
      <c r="ED154" s="13"/>
      <c r="EE154" s="14"/>
      <c r="EG154" s="65"/>
      <c r="EH154" s="13"/>
      <c r="EI154" s="14"/>
      <c r="EK154" s="65"/>
      <c r="EL154" s="13"/>
      <c r="EM154" s="14"/>
      <c r="EO154" s="65"/>
      <c r="EP154" s="13"/>
      <c r="EQ154" s="14"/>
      <c r="ES154" s="65"/>
      <c r="ET154" s="13"/>
      <c r="EU154" s="14"/>
      <c r="EW154" s="65"/>
      <c r="EX154" s="13"/>
      <c r="EY154" s="14"/>
      <c r="FA154" s="65"/>
      <c r="FB154" s="13"/>
      <c r="FC154" s="14"/>
      <c r="FE154" s="65"/>
      <c r="FF154" s="13"/>
      <c r="FG154" s="14"/>
      <c r="FI154" s="65"/>
      <c r="FJ154" s="13"/>
      <c r="FK154" s="14"/>
      <c r="FM154" s="65"/>
      <c r="FN154" s="13"/>
      <c r="FO154" s="14"/>
      <c r="FQ154" s="65"/>
      <c r="FR154" s="13"/>
      <c r="FS154" s="14"/>
      <c r="FU154" s="65"/>
      <c r="FV154" s="13"/>
      <c r="FW154" s="14"/>
      <c r="FY154" s="65"/>
      <c r="FZ154" s="13"/>
      <c r="GA154" s="14"/>
      <c r="GC154" s="65"/>
      <c r="GD154" s="13"/>
      <c r="GE154" s="14"/>
      <c r="GG154" s="65"/>
      <c r="GH154" s="13"/>
      <c r="GI154" s="14"/>
      <c r="GK154" s="65"/>
      <c r="GL154" s="13"/>
      <c r="GM154" s="14"/>
      <c r="GO154" s="65"/>
      <c r="GP154" s="13"/>
      <c r="GQ154" s="14"/>
      <c r="GS154" s="65"/>
      <c r="GT154" s="13"/>
      <c r="GU154" s="14"/>
      <c r="GW154" s="65"/>
      <c r="GX154" s="13"/>
      <c r="GY154" s="14"/>
      <c r="HA154" s="65"/>
      <c r="HB154" s="13"/>
      <c r="HC154" s="14"/>
      <c r="HE154" s="65"/>
      <c r="HF154" s="13"/>
      <c r="HG154" s="14"/>
      <c r="HI154" s="65"/>
      <c r="HJ154" s="13"/>
      <c r="HK154" s="14"/>
      <c r="HM154" s="65"/>
      <c r="HN154" s="13"/>
      <c r="HO154" s="14"/>
      <c r="HQ154" s="65"/>
      <c r="HR154" s="13"/>
      <c r="HS154" s="14"/>
      <c r="HU154" s="65"/>
      <c r="HV154" s="13"/>
      <c r="HW154" s="14"/>
      <c r="HY154" s="65"/>
      <c r="HZ154" s="13"/>
      <c r="IA154" s="14"/>
      <c r="IC154" s="65"/>
      <c r="ID154" s="13"/>
      <c r="IE154" s="14"/>
      <c r="IG154" s="65"/>
      <c r="IH154" s="13"/>
      <c r="II154" s="14"/>
      <c r="IK154" s="65"/>
      <c r="IL154" s="13"/>
      <c r="IM154" s="14"/>
      <c r="IO154" s="65"/>
      <c r="IP154" s="13"/>
      <c r="IQ154" s="14"/>
      <c r="IS154" s="65"/>
      <c r="IT154" s="13"/>
      <c r="IU154" s="14"/>
      <c r="IW154" s="65"/>
      <c r="IX154" s="13"/>
      <c r="IY154" s="14"/>
      <c r="JA154" s="65"/>
      <c r="JB154" s="13"/>
      <c r="JC154" s="14"/>
      <c r="JE154" s="65"/>
      <c r="JF154" s="13"/>
      <c r="JG154" s="14"/>
      <c r="JI154" s="65"/>
      <c r="JJ154" s="13"/>
      <c r="JK154" s="14"/>
      <c r="JM154" s="65"/>
      <c r="JN154" s="13"/>
      <c r="JO154" s="14"/>
      <c r="JQ154" s="65"/>
      <c r="JR154" s="13"/>
      <c r="JS154" s="14"/>
      <c r="JU154" s="65"/>
      <c r="JV154" s="13"/>
      <c r="JW154" s="14"/>
      <c r="JY154" s="65"/>
      <c r="JZ154" s="13"/>
      <c r="KA154" s="14"/>
      <c r="KC154" s="65"/>
      <c r="KD154" s="13"/>
      <c r="KE154" s="14"/>
      <c r="KG154" s="65"/>
      <c r="KH154" s="13"/>
      <c r="KI154" s="14"/>
      <c r="KK154" s="65"/>
      <c r="KL154" s="13"/>
      <c r="KM154" s="14"/>
      <c r="KO154" s="65"/>
      <c r="KP154" s="13"/>
      <c r="KQ154" s="14"/>
      <c r="KS154" s="65"/>
      <c r="KT154" s="13"/>
      <c r="KU154" s="14"/>
      <c r="KW154" s="65"/>
      <c r="KX154" s="13"/>
      <c r="KY154" s="14"/>
      <c r="LA154" s="65"/>
      <c r="LB154" s="13"/>
      <c r="LC154" s="14"/>
      <c r="LE154" s="65"/>
      <c r="LF154" s="13"/>
      <c r="LG154" s="14"/>
      <c r="LI154" s="65"/>
      <c r="LJ154" s="13"/>
      <c r="LK154" s="14"/>
      <c r="LM154" s="65"/>
      <c r="LN154" s="13"/>
      <c r="LO154" s="14"/>
      <c r="LQ154" s="65"/>
      <c r="LR154" s="13"/>
      <c r="LS154" s="14"/>
      <c r="LU154" s="65"/>
      <c r="LV154" s="13"/>
      <c r="LW154" s="14"/>
      <c r="LY154" s="65"/>
      <c r="LZ154" s="13"/>
      <c r="MA154" s="14"/>
      <c r="MC154" s="65"/>
      <c r="MD154" s="13"/>
      <c r="ME154" s="14"/>
      <c r="MG154" s="65"/>
      <c r="MH154" s="13"/>
      <c r="MI154" s="14"/>
      <c r="MK154" s="65"/>
      <c r="ML154" s="13"/>
      <c r="MM154" s="14"/>
      <c r="MO154" s="65"/>
      <c r="MP154" s="13"/>
      <c r="MQ154" s="14"/>
      <c r="MS154" s="65"/>
      <c r="MT154" s="13"/>
      <c r="MU154" s="14"/>
    </row>
    <row r="155" spans="1:359" hidden="1" x14ac:dyDescent="0.25">
      <c r="A155" s="15">
        <f t="shared" si="192"/>
        <v>0</v>
      </c>
      <c r="B155" s="20">
        <v>42849</v>
      </c>
      <c r="C155"/>
      <c r="D155" s="12">
        <v>21</v>
      </c>
      <c r="E155" s="12">
        <v>1143591.5252180551</v>
      </c>
      <c r="F155" s="14">
        <v>42579</v>
      </c>
      <c r="I155" s="12"/>
      <c r="J155" s="17"/>
      <c r="N155" s="12"/>
      <c r="O155" s="17"/>
      <c r="T155" s="15"/>
      <c r="U155" s="20"/>
      <c r="V155" s="36"/>
      <c r="W155" s="12"/>
      <c r="X155" s="12"/>
      <c r="Y155" s="14"/>
      <c r="AB155" s="12"/>
      <c r="AC155" s="17"/>
      <c r="AG155" s="12"/>
      <c r="AH155" s="17"/>
      <c r="AK155" s="12"/>
      <c r="AL155" s="13"/>
      <c r="AM155" s="14"/>
      <c r="CK155" s="65"/>
      <c r="CL155" s="13"/>
      <c r="CO155" s="65"/>
      <c r="CP155" s="13"/>
      <c r="CS155" s="65"/>
      <c r="CT155" s="13"/>
      <c r="CW155" s="65"/>
      <c r="CX155" s="13"/>
      <c r="DA155" s="65"/>
      <c r="DB155" s="13"/>
      <c r="DE155" s="65"/>
      <c r="DF155" s="13"/>
      <c r="DI155" s="65"/>
      <c r="DJ155" s="13"/>
      <c r="DM155" s="65"/>
      <c r="DN155" s="13"/>
      <c r="DQ155" s="65"/>
      <c r="DR155" s="13"/>
      <c r="DU155" s="65"/>
      <c r="DV155" s="13"/>
      <c r="DY155" s="65"/>
      <c r="DZ155" s="13"/>
      <c r="EA155" s="14"/>
      <c r="EC155" s="65"/>
      <c r="ED155" s="13"/>
      <c r="EE155" s="14"/>
      <c r="EG155" s="65"/>
      <c r="EH155" s="13"/>
      <c r="EI155" s="14"/>
      <c r="EK155" s="65"/>
      <c r="EL155" s="13"/>
      <c r="EM155" s="14"/>
      <c r="EO155" s="65"/>
      <c r="EP155" s="13"/>
      <c r="EQ155" s="14"/>
      <c r="ES155" s="65"/>
      <c r="ET155" s="13"/>
      <c r="EU155" s="14"/>
      <c r="EW155" s="65"/>
      <c r="EX155" s="13"/>
      <c r="EY155" s="14"/>
      <c r="FA155" s="65"/>
      <c r="FB155" s="13"/>
      <c r="FC155" s="14"/>
      <c r="FE155" s="65"/>
      <c r="FF155" s="13"/>
      <c r="FG155" s="14"/>
      <c r="FI155" s="65"/>
      <c r="FJ155" s="13"/>
      <c r="FK155" s="14"/>
      <c r="FM155" s="65"/>
      <c r="FN155" s="13"/>
      <c r="FO155" s="14"/>
      <c r="FQ155" s="65"/>
      <c r="FR155" s="13"/>
      <c r="FS155" s="14"/>
      <c r="FU155" s="65"/>
      <c r="FV155" s="13"/>
      <c r="FW155" s="14"/>
      <c r="FY155" s="65"/>
      <c r="FZ155" s="13"/>
      <c r="GA155" s="14"/>
      <c r="GC155" s="65"/>
      <c r="GD155" s="13"/>
      <c r="GE155" s="14"/>
      <c r="GG155" s="65"/>
      <c r="GH155" s="13"/>
      <c r="GI155" s="14"/>
      <c r="GK155" s="65"/>
      <c r="GL155" s="13"/>
      <c r="GM155" s="14"/>
      <c r="GO155" s="65"/>
      <c r="GP155" s="13"/>
      <c r="GQ155" s="14"/>
      <c r="GS155" s="65"/>
      <c r="GT155" s="13"/>
      <c r="GU155" s="14"/>
      <c r="GW155" s="65"/>
      <c r="GX155" s="13"/>
      <c r="GY155" s="14"/>
      <c r="HA155" s="65"/>
      <c r="HB155" s="13"/>
      <c r="HC155" s="14"/>
      <c r="HE155" s="65"/>
      <c r="HF155" s="13"/>
      <c r="HG155" s="14"/>
      <c r="HI155" s="65"/>
      <c r="HJ155" s="13"/>
      <c r="HK155" s="14"/>
      <c r="HM155" s="65"/>
      <c r="HN155" s="13"/>
      <c r="HO155" s="14"/>
      <c r="HQ155" s="65"/>
      <c r="HR155" s="13"/>
      <c r="HS155" s="14"/>
      <c r="HU155" s="65"/>
      <c r="HV155" s="13"/>
      <c r="HW155" s="14"/>
      <c r="HY155" s="65"/>
      <c r="HZ155" s="13"/>
      <c r="IA155" s="14"/>
      <c r="IC155" s="65"/>
      <c r="ID155" s="13"/>
      <c r="IE155" s="14"/>
      <c r="IG155" s="65"/>
      <c r="IH155" s="13"/>
      <c r="II155" s="14"/>
      <c r="IK155" s="65"/>
      <c r="IL155" s="13"/>
      <c r="IM155" s="14"/>
      <c r="IO155" s="65"/>
      <c r="IP155" s="13"/>
      <c r="IQ155" s="14"/>
      <c r="IS155" s="65"/>
      <c r="IT155" s="13"/>
      <c r="IU155" s="14"/>
      <c r="IW155" s="65"/>
      <c r="IX155" s="13"/>
      <c r="IY155" s="14"/>
      <c r="JA155" s="65"/>
      <c r="JB155" s="13"/>
      <c r="JC155" s="14"/>
      <c r="JE155" s="65"/>
      <c r="JF155" s="13"/>
      <c r="JG155" s="14"/>
      <c r="JI155" s="65"/>
      <c r="JJ155" s="13"/>
      <c r="JK155" s="14"/>
      <c r="JM155" s="65"/>
      <c r="JN155" s="13"/>
      <c r="JO155" s="14"/>
      <c r="JQ155" s="65"/>
      <c r="JR155" s="13"/>
      <c r="JS155" s="14"/>
      <c r="JU155" s="65"/>
      <c r="JV155" s="13"/>
      <c r="JW155" s="14"/>
      <c r="JY155" s="65"/>
      <c r="JZ155" s="13"/>
      <c r="KA155" s="14"/>
      <c r="KC155" s="65"/>
      <c r="KD155" s="13"/>
      <c r="KE155" s="14"/>
      <c r="KG155" s="65"/>
      <c r="KH155" s="13"/>
      <c r="KI155" s="14"/>
      <c r="KK155" s="65"/>
      <c r="KL155" s="13"/>
      <c r="KM155" s="14"/>
      <c r="KO155" s="65"/>
      <c r="KP155" s="13"/>
      <c r="KQ155" s="14"/>
      <c r="KS155" s="65"/>
      <c r="KT155" s="13"/>
      <c r="KU155" s="14"/>
      <c r="KW155" s="65"/>
      <c r="KX155" s="13"/>
      <c r="KY155" s="14"/>
      <c r="LA155" s="65"/>
      <c r="LB155" s="13"/>
      <c r="LC155" s="14"/>
      <c r="LE155" s="65"/>
      <c r="LF155" s="13"/>
      <c r="LG155" s="14"/>
      <c r="LI155" s="65"/>
      <c r="LJ155" s="13"/>
      <c r="LK155" s="14"/>
      <c r="LM155" s="65"/>
      <c r="LN155" s="13"/>
      <c r="LO155" s="14"/>
      <c r="LQ155" s="65"/>
      <c r="LR155" s="13"/>
      <c r="LS155" s="14"/>
      <c r="LU155" s="65"/>
      <c r="LV155" s="13"/>
      <c r="LW155" s="14"/>
      <c r="LY155" s="65"/>
      <c r="LZ155" s="13"/>
      <c r="MA155" s="14"/>
      <c r="MC155" s="65"/>
      <c r="MD155" s="13"/>
      <c r="ME155" s="14"/>
      <c r="MG155" s="65"/>
      <c r="MH155" s="13"/>
      <c r="MI155" s="14"/>
      <c r="MK155" s="65"/>
      <c r="ML155" s="13"/>
      <c r="MM155" s="14"/>
      <c r="MO155" s="65"/>
      <c r="MP155" s="13"/>
      <c r="MQ155" s="14"/>
      <c r="MS155" s="65"/>
      <c r="MT155" s="13"/>
      <c r="MU155" s="14"/>
    </row>
    <row r="156" spans="1:359" hidden="1" x14ac:dyDescent="0.25">
      <c r="A156" s="15">
        <f t="shared" si="192"/>
        <v>0</v>
      </c>
      <c r="B156" s="20">
        <v>42850</v>
      </c>
      <c r="C156"/>
      <c r="D156" s="12">
        <v>20</v>
      </c>
      <c r="E156" s="12">
        <v>1143618.8090874173</v>
      </c>
      <c r="F156" s="14">
        <v>42580</v>
      </c>
      <c r="I156" s="12"/>
      <c r="J156" s="17"/>
      <c r="N156" s="12"/>
      <c r="O156" s="17"/>
      <c r="T156" s="15"/>
      <c r="U156" s="20"/>
      <c r="V156" s="36"/>
      <c r="W156" s="12"/>
      <c r="X156" s="12"/>
      <c r="Y156" s="14"/>
      <c r="AB156" s="12"/>
      <c r="AC156" s="17"/>
      <c r="AG156" s="12"/>
      <c r="AH156" s="17"/>
      <c r="AK156" s="12"/>
      <c r="AL156" s="13"/>
      <c r="AM156" s="14"/>
      <c r="CK156" s="65"/>
      <c r="CL156" s="13"/>
      <c r="CO156" s="65"/>
      <c r="CP156" s="13"/>
      <c r="CS156" s="65"/>
      <c r="CT156" s="13"/>
      <c r="CW156" s="65"/>
      <c r="CX156" s="13"/>
      <c r="DA156" s="65"/>
      <c r="DB156" s="13"/>
      <c r="DE156" s="65"/>
      <c r="DF156" s="13"/>
      <c r="DI156" s="65"/>
      <c r="DJ156" s="13"/>
      <c r="DM156" s="65"/>
      <c r="DN156" s="13"/>
      <c r="DQ156" s="65"/>
      <c r="DR156" s="13"/>
      <c r="DU156" s="65"/>
      <c r="DV156" s="13"/>
      <c r="DY156" s="65"/>
      <c r="DZ156" s="13"/>
      <c r="EA156" s="14"/>
      <c r="EC156" s="65"/>
      <c r="ED156" s="13"/>
      <c r="EE156" s="14"/>
      <c r="EG156" s="65"/>
      <c r="EH156" s="13"/>
      <c r="EI156" s="14"/>
      <c r="EK156" s="65"/>
      <c r="EL156" s="13"/>
      <c r="EM156" s="14"/>
      <c r="EO156" s="65"/>
      <c r="EP156" s="13"/>
      <c r="EQ156" s="14"/>
      <c r="ES156" s="65"/>
      <c r="ET156" s="13"/>
      <c r="EU156" s="14"/>
      <c r="EW156" s="65"/>
      <c r="EX156" s="13"/>
      <c r="EY156" s="14"/>
      <c r="FA156" s="65"/>
      <c r="FB156" s="13"/>
      <c r="FC156" s="14"/>
      <c r="FE156" s="65"/>
      <c r="FF156" s="13"/>
      <c r="FG156" s="14"/>
      <c r="FI156" s="65"/>
      <c r="FJ156" s="13"/>
      <c r="FK156" s="14"/>
      <c r="FM156" s="65"/>
      <c r="FN156" s="13"/>
      <c r="FO156" s="14"/>
      <c r="FQ156" s="65"/>
      <c r="FR156" s="13"/>
      <c r="FS156" s="14"/>
      <c r="FU156" s="65"/>
      <c r="FV156" s="13"/>
      <c r="FW156" s="14"/>
      <c r="FY156" s="65"/>
      <c r="FZ156" s="13"/>
      <c r="GA156" s="14"/>
      <c r="GC156" s="65"/>
      <c r="GD156" s="13"/>
      <c r="GE156" s="14"/>
      <c r="GG156" s="65"/>
      <c r="GH156" s="13"/>
      <c r="GI156" s="14"/>
      <c r="GK156" s="65"/>
      <c r="GL156" s="13"/>
      <c r="GM156" s="14"/>
      <c r="GO156" s="65"/>
      <c r="GP156" s="13"/>
      <c r="GQ156" s="14"/>
      <c r="GS156" s="65"/>
      <c r="GT156" s="13"/>
      <c r="GU156" s="14"/>
      <c r="GW156" s="65"/>
      <c r="GX156" s="13"/>
      <c r="GY156" s="14"/>
      <c r="HA156" s="65"/>
      <c r="HB156" s="13"/>
      <c r="HC156" s="14"/>
      <c r="HE156" s="65"/>
      <c r="HF156" s="13"/>
      <c r="HG156" s="14"/>
      <c r="HI156" s="65"/>
      <c r="HJ156" s="13"/>
      <c r="HK156" s="14"/>
      <c r="HM156" s="65"/>
      <c r="HN156" s="13"/>
      <c r="HO156" s="14"/>
      <c r="HQ156" s="65"/>
      <c r="HR156" s="13"/>
      <c r="HS156" s="14"/>
      <c r="HU156" s="65"/>
      <c r="HV156" s="13"/>
      <c r="HW156" s="14"/>
      <c r="HY156" s="65"/>
      <c r="HZ156" s="13"/>
      <c r="IA156" s="14"/>
      <c r="IC156" s="65"/>
      <c r="ID156" s="13"/>
      <c r="IE156" s="14"/>
      <c r="IG156" s="65"/>
      <c r="IH156" s="13"/>
      <c r="II156" s="14"/>
      <c r="IK156" s="65"/>
      <c r="IL156" s="13"/>
      <c r="IM156" s="14"/>
      <c r="IO156" s="65"/>
      <c r="IP156" s="13"/>
      <c r="IQ156" s="14"/>
      <c r="IS156" s="65"/>
      <c r="IT156" s="13"/>
      <c r="IU156" s="14"/>
      <c r="IW156" s="65"/>
      <c r="IX156" s="13"/>
      <c r="IY156" s="14"/>
      <c r="JA156" s="65"/>
      <c r="JB156" s="13"/>
      <c r="JC156" s="14"/>
      <c r="JE156" s="65"/>
      <c r="JF156" s="13"/>
      <c r="JG156" s="14"/>
      <c r="JI156" s="65"/>
      <c r="JJ156" s="13"/>
      <c r="JK156" s="14"/>
      <c r="JM156" s="65"/>
      <c r="JN156" s="13"/>
      <c r="JO156" s="14"/>
      <c r="JQ156" s="65"/>
      <c r="JR156" s="13"/>
      <c r="JS156" s="14"/>
      <c r="JU156" s="65"/>
      <c r="JV156" s="13"/>
      <c r="JW156" s="14"/>
      <c r="JY156" s="65"/>
      <c r="JZ156" s="13"/>
      <c r="KA156" s="14"/>
      <c r="KC156" s="65"/>
      <c r="KD156" s="13"/>
      <c r="KE156" s="14"/>
      <c r="KG156" s="65"/>
      <c r="KH156" s="13"/>
      <c r="KI156" s="14"/>
      <c r="KK156" s="65"/>
      <c r="KL156" s="13"/>
      <c r="KM156" s="14"/>
      <c r="KO156" s="65"/>
      <c r="KP156" s="13"/>
      <c r="KQ156" s="14"/>
      <c r="KS156" s="65"/>
      <c r="KT156" s="13"/>
      <c r="KU156" s="14"/>
      <c r="KW156" s="65"/>
      <c r="KX156" s="13"/>
      <c r="KY156" s="14"/>
      <c r="LA156" s="65"/>
      <c r="LB156" s="13"/>
      <c r="LC156" s="14"/>
      <c r="LE156" s="65"/>
      <c r="LF156" s="13"/>
      <c r="LG156" s="14"/>
      <c r="LI156" s="65"/>
      <c r="LJ156" s="13"/>
      <c r="LK156" s="14"/>
      <c r="LM156" s="65"/>
      <c r="LN156" s="13"/>
      <c r="LO156" s="14"/>
      <c r="LQ156" s="65"/>
      <c r="LR156" s="13"/>
      <c r="LS156" s="14"/>
      <c r="LU156" s="65"/>
      <c r="LV156" s="13"/>
      <c r="LW156" s="14"/>
      <c r="LY156" s="65"/>
      <c r="LZ156" s="13"/>
      <c r="MA156" s="14"/>
      <c r="MC156" s="65"/>
      <c r="MD156" s="13"/>
      <c r="ME156" s="14"/>
      <c r="MG156" s="65"/>
      <c r="MH156" s="13"/>
      <c r="MI156" s="14"/>
      <c r="MK156" s="65"/>
      <c r="ML156" s="13"/>
      <c r="MM156" s="14"/>
      <c r="MO156" s="65"/>
      <c r="MP156" s="13"/>
      <c r="MQ156" s="14"/>
      <c r="MS156" s="65"/>
      <c r="MT156" s="13"/>
      <c r="MU156" s="14"/>
    </row>
    <row r="157" spans="1:359" hidden="1" x14ac:dyDescent="0.25">
      <c r="A157" s="15">
        <f t="shared" si="192"/>
        <v>0</v>
      </c>
      <c r="B157" s="20">
        <v>42851</v>
      </c>
      <c r="C157"/>
      <c r="D157" s="12">
        <v>19</v>
      </c>
      <c r="E157" s="12">
        <v>1143646.0942586907</v>
      </c>
      <c r="F157" s="14">
        <v>42581</v>
      </c>
      <c r="I157" s="12"/>
      <c r="J157" s="17"/>
      <c r="N157" s="12"/>
      <c r="O157" s="17"/>
      <c r="T157" s="15"/>
      <c r="U157" s="20"/>
      <c r="V157" s="36"/>
      <c r="W157" s="12"/>
      <c r="X157" s="12"/>
      <c r="Y157" s="14"/>
      <c r="AB157" s="12"/>
      <c r="AC157" s="17"/>
      <c r="AG157" s="12"/>
      <c r="AH157" s="17"/>
      <c r="AK157" s="12"/>
      <c r="AL157" s="13"/>
      <c r="AM157" s="14"/>
      <c r="CK157" s="65"/>
      <c r="CL157" s="13"/>
      <c r="CO157" s="65"/>
      <c r="CP157" s="13"/>
      <c r="CS157" s="65"/>
      <c r="CT157" s="13"/>
      <c r="CW157" s="65"/>
      <c r="CX157" s="13"/>
      <c r="DA157" s="65"/>
      <c r="DB157" s="13"/>
      <c r="DE157" s="65"/>
      <c r="DF157" s="13"/>
      <c r="DI157" s="65"/>
      <c r="DJ157" s="13"/>
      <c r="DM157" s="65"/>
      <c r="DN157" s="13"/>
      <c r="DQ157" s="65"/>
      <c r="DR157" s="13"/>
      <c r="DU157" s="65"/>
      <c r="DV157" s="13"/>
      <c r="DY157" s="65"/>
      <c r="DZ157" s="13"/>
      <c r="EA157" s="14"/>
      <c r="EC157" s="65"/>
      <c r="ED157" s="13"/>
      <c r="EE157" s="14"/>
      <c r="EG157" s="65"/>
      <c r="EH157" s="13"/>
      <c r="EI157" s="14"/>
      <c r="EK157" s="65"/>
      <c r="EL157" s="13"/>
      <c r="EM157" s="14"/>
      <c r="EO157" s="65"/>
      <c r="EP157" s="13"/>
      <c r="EQ157" s="14"/>
      <c r="ES157" s="65"/>
      <c r="ET157" s="13"/>
      <c r="EU157" s="14"/>
      <c r="EW157" s="65"/>
      <c r="EX157" s="13"/>
      <c r="EY157" s="14"/>
      <c r="FA157" s="65"/>
      <c r="FB157" s="13"/>
      <c r="FC157" s="14"/>
      <c r="FE157" s="65"/>
      <c r="FF157" s="13"/>
      <c r="FG157" s="14"/>
      <c r="FI157" s="65"/>
      <c r="FJ157" s="13"/>
      <c r="FK157" s="14"/>
      <c r="FM157" s="65"/>
      <c r="FN157" s="13"/>
      <c r="FO157" s="14"/>
      <c r="FQ157" s="65"/>
      <c r="FR157" s="13"/>
      <c r="FS157" s="14"/>
      <c r="FU157" s="65"/>
      <c r="FV157" s="13"/>
      <c r="FW157" s="14"/>
      <c r="FY157" s="65"/>
      <c r="FZ157" s="13"/>
      <c r="GA157" s="14"/>
      <c r="GC157" s="65"/>
      <c r="GD157" s="13"/>
      <c r="GE157" s="14"/>
      <c r="GG157" s="65"/>
      <c r="GH157" s="13"/>
      <c r="GI157" s="14"/>
      <c r="GK157" s="65"/>
      <c r="GL157" s="13"/>
      <c r="GM157" s="14"/>
      <c r="GO157" s="65"/>
      <c r="GP157" s="13"/>
      <c r="GQ157" s="14"/>
      <c r="GS157" s="65"/>
      <c r="GT157" s="13"/>
      <c r="GU157" s="14"/>
      <c r="GW157" s="65"/>
      <c r="GX157" s="13"/>
      <c r="GY157" s="14"/>
      <c r="HA157" s="65"/>
      <c r="HB157" s="13"/>
      <c r="HC157" s="14"/>
      <c r="HE157" s="65"/>
      <c r="HF157" s="13"/>
      <c r="HG157" s="14"/>
      <c r="HI157" s="65"/>
      <c r="HJ157" s="13"/>
      <c r="HK157" s="14"/>
      <c r="HM157" s="65"/>
      <c r="HN157" s="13"/>
      <c r="HO157" s="14"/>
      <c r="HQ157" s="65"/>
      <c r="HR157" s="13"/>
      <c r="HS157" s="14"/>
      <c r="HU157" s="65"/>
      <c r="HV157" s="13"/>
      <c r="HW157" s="14"/>
      <c r="HY157" s="65"/>
      <c r="HZ157" s="13"/>
      <c r="IA157" s="14"/>
      <c r="IC157" s="65"/>
      <c r="ID157" s="13"/>
      <c r="IE157" s="14"/>
      <c r="IG157" s="65"/>
      <c r="IH157" s="13"/>
      <c r="II157" s="14"/>
      <c r="IK157" s="65"/>
      <c r="IL157" s="13"/>
      <c r="IM157" s="14"/>
      <c r="IO157" s="65"/>
      <c r="IP157" s="13"/>
      <c r="IQ157" s="14"/>
      <c r="IS157" s="65"/>
      <c r="IT157" s="13"/>
      <c r="IU157" s="14"/>
      <c r="IW157" s="65"/>
      <c r="IX157" s="13"/>
      <c r="IY157" s="14"/>
      <c r="JA157" s="65"/>
      <c r="JB157" s="13"/>
      <c r="JC157" s="14"/>
      <c r="JE157" s="65"/>
      <c r="JF157" s="13"/>
      <c r="JG157" s="14"/>
      <c r="JI157" s="65"/>
      <c r="JJ157" s="13"/>
      <c r="JK157" s="14"/>
      <c r="JM157" s="65"/>
      <c r="JN157" s="13"/>
      <c r="JO157" s="14"/>
      <c r="JQ157" s="65"/>
      <c r="JR157" s="13"/>
      <c r="JS157" s="14"/>
      <c r="JU157" s="65"/>
      <c r="JV157" s="13"/>
      <c r="JW157" s="14"/>
      <c r="JY157" s="65"/>
      <c r="JZ157" s="13"/>
      <c r="KA157" s="14"/>
      <c r="KC157" s="65"/>
      <c r="KD157" s="13"/>
      <c r="KE157" s="14"/>
      <c r="KG157" s="65"/>
      <c r="KH157" s="13"/>
      <c r="KI157" s="14"/>
      <c r="KK157" s="65"/>
      <c r="KL157" s="13"/>
      <c r="KM157" s="14"/>
      <c r="KO157" s="65"/>
      <c r="KP157" s="13"/>
      <c r="KQ157" s="14"/>
      <c r="KS157" s="65"/>
      <c r="KT157" s="13"/>
      <c r="KU157" s="14"/>
      <c r="KW157" s="65"/>
      <c r="KX157" s="13"/>
      <c r="KY157" s="14"/>
      <c r="LA157" s="65"/>
      <c r="LB157" s="13"/>
      <c r="LC157" s="14"/>
      <c r="LE157" s="65"/>
      <c r="LF157" s="13"/>
      <c r="LG157" s="14"/>
      <c r="LI157" s="65"/>
      <c r="LJ157" s="13"/>
      <c r="LK157" s="14"/>
      <c r="LM157" s="65"/>
      <c r="LN157" s="13"/>
      <c r="LO157" s="14"/>
      <c r="LQ157" s="65"/>
      <c r="LR157" s="13"/>
      <c r="LS157" s="14"/>
      <c r="LU157" s="65"/>
      <c r="LV157" s="13"/>
      <c r="LW157" s="14"/>
      <c r="LY157" s="65"/>
      <c r="LZ157" s="13"/>
      <c r="MA157" s="14"/>
      <c r="MC157" s="65"/>
      <c r="MD157" s="13"/>
      <c r="ME157" s="14"/>
      <c r="MG157" s="65"/>
      <c r="MH157" s="13"/>
      <c r="MI157" s="14"/>
      <c r="MK157" s="65"/>
      <c r="ML157" s="13"/>
      <c r="MM157" s="14"/>
      <c r="MO157" s="65"/>
      <c r="MP157" s="13"/>
      <c r="MQ157" s="14"/>
      <c r="MS157" s="65"/>
      <c r="MT157" s="13"/>
      <c r="MU157" s="14"/>
    </row>
    <row r="158" spans="1:359" hidden="1" x14ac:dyDescent="0.25">
      <c r="A158" s="15">
        <f t="shared" si="192"/>
        <v>0</v>
      </c>
      <c r="B158" s="20">
        <v>42852</v>
      </c>
      <c r="C158"/>
      <c r="D158" s="12">
        <v>18</v>
      </c>
      <c r="E158" s="12">
        <v>1143673.3807319684</v>
      </c>
      <c r="F158" s="14">
        <v>42582</v>
      </c>
      <c r="I158" s="12"/>
      <c r="J158" s="17"/>
      <c r="N158" s="12"/>
      <c r="O158" s="17"/>
      <c r="T158" s="15"/>
      <c r="U158" s="20"/>
      <c r="V158" s="36"/>
      <c r="W158" s="12"/>
      <c r="X158" s="12"/>
      <c r="Y158" s="14"/>
      <c r="AB158" s="12"/>
      <c r="AC158" s="17"/>
      <c r="AG158" s="12"/>
      <c r="AH158" s="17"/>
      <c r="AK158" s="12"/>
      <c r="AL158" s="13"/>
      <c r="AM158" s="14"/>
      <c r="CK158" s="65"/>
      <c r="CL158" s="13"/>
      <c r="CO158" s="65"/>
      <c r="CP158" s="13"/>
      <c r="CS158" s="65"/>
      <c r="CT158" s="13"/>
      <c r="CW158" s="65"/>
      <c r="CX158" s="13"/>
      <c r="DA158" s="65"/>
      <c r="DB158" s="13"/>
      <c r="DE158" s="65"/>
      <c r="DF158" s="13"/>
      <c r="DI158" s="65"/>
      <c r="DJ158" s="13"/>
      <c r="DM158" s="65"/>
      <c r="DN158" s="13"/>
      <c r="DQ158" s="65"/>
      <c r="DR158" s="13"/>
      <c r="DU158" s="65"/>
      <c r="DV158" s="13"/>
      <c r="DY158" s="65"/>
      <c r="DZ158" s="13"/>
      <c r="EA158" s="14"/>
      <c r="EC158" s="65"/>
      <c r="ED158" s="13"/>
      <c r="EE158" s="14"/>
      <c r="EG158" s="65"/>
      <c r="EH158" s="13"/>
      <c r="EI158" s="14"/>
      <c r="EK158" s="65"/>
      <c r="EL158" s="13"/>
      <c r="EM158" s="14"/>
      <c r="EO158" s="65"/>
      <c r="EP158" s="13"/>
      <c r="EQ158" s="14"/>
      <c r="ES158" s="65"/>
      <c r="ET158" s="13"/>
      <c r="EU158" s="14"/>
      <c r="EW158" s="65"/>
      <c r="EX158" s="13"/>
      <c r="EY158" s="14"/>
      <c r="FA158" s="65"/>
      <c r="FB158" s="13"/>
      <c r="FC158" s="14"/>
      <c r="FE158" s="65"/>
      <c r="FF158" s="13"/>
      <c r="FG158" s="14"/>
      <c r="FI158" s="65"/>
      <c r="FJ158" s="13"/>
      <c r="FK158" s="14"/>
      <c r="FM158" s="65"/>
      <c r="FN158" s="13"/>
      <c r="FO158" s="14"/>
      <c r="FQ158" s="65"/>
      <c r="FR158" s="13"/>
      <c r="FS158" s="14"/>
      <c r="FU158" s="65"/>
      <c r="FV158" s="13"/>
      <c r="FW158" s="14"/>
      <c r="FY158" s="65"/>
      <c r="FZ158" s="13"/>
      <c r="GA158" s="14"/>
      <c r="GC158" s="65"/>
      <c r="GD158" s="13"/>
      <c r="GE158" s="14"/>
      <c r="GG158" s="65"/>
      <c r="GH158" s="13"/>
      <c r="GI158" s="14"/>
      <c r="GK158" s="65"/>
      <c r="GL158" s="13"/>
      <c r="GM158" s="14"/>
      <c r="GO158" s="65"/>
      <c r="GP158" s="13"/>
      <c r="GQ158" s="14"/>
      <c r="GS158" s="65"/>
      <c r="GT158" s="13"/>
      <c r="GU158" s="14"/>
      <c r="GW158" s="65"/>
      <c r="GX158" s="13"/>
      <c r="GY158" s="14"/>
      <c r="HA158" s="65"/>
      <c r="HB158" s="13"/>
      <c r="HC158" s="14"/>
      <c r="HE158" s="65"/>
      <c r="HF158" s="13"/>
      <c r="HG158" s="14"/>
      <c r="HI158" s="65"/>
      <c r="HJ158" s="13"/>
      <c r="HK158" s="14"/>
      <c r="HM158" s="65"/>
      <c r="HN158" s="13"/>
      <c r="HO158" s="14"/>
      <c r="HQ158" s="65"/>
      <c r="HR158" s="13"/>
      <c r="HS158" s="14"/>
      <c r="HU158" s="65"/>
      <c r="HV158" s="13"/>
      <c r="HW158" s="14"/>
      <c r="HY158" s="65"/>
      <c r="HZ158" s="13"/>
      <c r="IA158" s="14"/>
      <c r="IC158" s="65"/>
      <c r="ID158" s="13"/>
      <c r="IE158" s="14"/>
      <c r="IG158" s="65"/>
      <c r="IH158" s="13"/>
      <c r="II158" s="14"/>
      <c r="IK158" s="65"/>
      <c r="IL158" s="13"/>
      <c r="IM158" s="14"/>
      <c r="IO158" s="65"/>
      <c r="IP158" s="13"/>
      <c r="IQ158" s="14"/>
      <c r="IS158" s="65"/>
      <c r="IT158" s="13"/>
      <c r="IU158" s="14"/>
      <c r="IW158" s="65"/>
      <c r="IX158" s="13"/>
      <c r="IY158" s="14"/>
      <c r="JA158" s="65"/>
      <c r="JB158" s="13"/>
      <c r="JC158" s="14"/>
      <c r="JE158" s="65"/>
      <c r="JF158" s="13"/>
      <c r="JG158" s="14"/>
      <c r="JI158" s="65"/>
      <c r="JJ158" s="13"/>
      <c r="JK158" s="14"/>
      <c r="JM158" s="65"/>
      <c r="JN158" s="13"/>
      <c r="JO158" s="14"/>
      <c r="JQ158" s="65"/>
      <c r="JR158" s="13"/>
      <c r="JS158" s="14"/>
      <c r="JU158" s="65"/>
      <c r="JV158" s="13"/>
      <c r="JW158" s="14"/>
      <c r="JY158" s="65"/>
      <c r="JZ158" s="13"/>
      <c r="KA158" s="14"/>
      <c r="KC158" s="65"/>
      <c r="KD158" s="13"/>
      <c r="KE158" s="14"/>
      <c r="KG158" s="65"/>
      <c r="KH158" s="13"/>
      <c r="KI158" s="14"/>
      <c r="KK158" s="65"/>
      <c r="KL158" s="13"/>
      <c r="KM158" s="14"/>
      <c r="KO158" s="65"/>
      <c r="KP158" s="13"/>
      <c r="KQ158" s="14"/>
      <c r="KS158" s="65"/>
      <c r="KT158" s="13"/>
      <c r="KU158" s="14"/>
      <c r="KW158" s="65"/>
      <c r="KX158" s="13"/>
      <c r="KY158" s="14"/>
      <c r="LA158" s="65"/>
      <c r="LB158" s="13"/>
      <c r="LC158" s="14"/>
      <c r="LE158" s="65"/>
      <c r="LF158" s="13"/>
      <c r="LG158" s="14"/>
      <c r="LI158" s="65"/>
      <c r="LJ158" s="13"/>
      <c r="LK158" s="14"/>
      <c r="LM158" s="65"/>
      <c r="LN158" s="13"/>
      <c r="LO158" s="14"/>
      <c r="LQ158" s="65"/>
      <c r="LR158" s="13"/>
      <c r="LS158" s="14"/>
      <c r="LU158" s="65"/>
      <c r="LV158" s="13"/>
      <c r="LW158" s="14"/>
      <c r="LY158" s="65"/>
      <c r="LZ158" s="13"/>
      <c r="MA158" s="14"/>
      <c r="MC158" s="65"/>
      <c r="MD158" s="13"/>
      <c r="ME158" s="14"/>
      <c r="MG158" s="65"/>
      <c r="MH158" s="13"/>
      <c r="MI158" s="14"/>
      <c r="MK158" s="65"/>
      <c r="ML158" s="13"/>
      <c r="MM158" s="14"/>
      <c r="MO158" s="65"/>
      <c r="MP158" s="13"/>
      <c r="MQ158" s="14"/>
      <c r="MS158" s="65"/>
      <c r="MT158" s="13"/>
      <c r="MU158" s="14"/>
    </row>
    <row r="159" spans="1:359" hidden="1" x14ac:dyDescent="0.25">
      <c r="A159" s="15">
        <f t="shared" si="192"/>
        <v>0</v>
      </c>
      <c r="B159" s="20">
        <v>42853</v>
      </c>
      <c r="C159"/>
      <c r="D159" s="12">
        <v>17</v>
      </c>
      <c r="E159" s="12">
        <v>1143700.6685073439</v>
      </c>
      <c r="F159" s="14">
        <v>42583</v>
      </c>
      <c r="I159" s="12"/>
      <c r="J159" s="17"/>
      <c r="N159" s="12"/>
      <c r="O159" s="17"/>
      <c r="T159" s="15"/>
      <c r="U159" s="20"/>
      <c r="V159" s="36"/>
      <c r="W159" s="12"/>
      <c r="X159" s="12"/>
      <c r="Y159" s="14"/>
      <c r="AB159" s="12"/>
      <c r="AC159" s="17"/>
      <c r="AG159" s="12"/>
      <c r="AH159" s="17"/>
      <c r="AK159" s="12"/>
      <c r="AL159" s="13"/>
      <c r="AM159" s="14"/>
      <c r="CK159" s="65"/>
      <c r="CL159" s="13"/>
      <c r="CO159" s="65"/>
      <c r="CP159" s="13"/>
      <c r="CS159" s="65"/>
      <c r="CT159" s="13"/>
      <c r="CW159" s="65"/>
      <c r="CX159" s="13"/>
      <c r="DA159" s="65"/>
      <c r="DB159" s="13"/>
      <c r="DE159" s="65"/>
      <c r="DF159" s="13"/>
      <c r="DI159" s="65"/>
      <c r="DJ159" s="13"/>
      <c r="DM159" s="65"/>
      <c r="DN159" s="13"/>
      <c r="DQ159" s="65"/>
      <c r="DR159" s="13"/>
      <c r="DU159" s="65"/>
      <c r="DV159" s="13"/>
      <c r="DY159" s="65"/>
      <c r="DZ159" s="13"/>
      <c r="EA159" s="14"/>
      <c r="EC159" s="65"/>
      <c r="ED159" s="13"/>
      <c r="EE159" s="14"/>
      <c r="EG159" s="65"/>
      <c r="EH159" s="13"/>
      <c r="EI159" s="14"/>
      <c r="EK159" s="65"/>
      <c r="EL159" s="13"/>
      <c r="EM159" s="14"/>
      <c r="EO159" s="65"/>
      <c r="EP159" s="13"/>
      <c r="EQ159" s="14"/>
      <c r="ES159" s="65"/>
      <c r="ET159" s="13"/>
      <c r="EU159" s="14"/>
      <c r="EW159" s="65"/>
      <c r="EX159" s="13"/>
      <c r="EY159" s="14"/>
      <c r="FA159" s="65"/>
      <c r="FB159" s="13"/>
      <c r="FC159" s="14"/>
      <c r="FE159" s="65"/>
      <c r="FF159" s="13"/>
      <c r="FG159" s="14"/>
      <c r="FI159" s="65"/>
      <c r="FJ159" s="13"/>
      <c r="FK159" s="14"/>
      <c r="FM159" s="65"/>
      <c r="FN159" s="13"/>
      <c r="FO159" s="14"/>
      <c r="FQ159" s="65"/>
      <c r="FR159" s="13"/>
      <c r="FS159" s="14"/>
      <c r="FU159" s="65"/>
      <c r="FV159" s="13"/>
      <c r="FW159" s="14"/>
      <c r="FY159" s="65"/>
      <c r="FZ159" s="13"/>
      <c r="GA159" s="14"/>
      <c r="GC159" s="65"/>
      <c r="GD159" s="13"/>
      <c r="GE159" s="14"/>
      <c r="GG159" s="65"/>
      <c r="GH159" s="13"/>
      <c r="GI159" s="14"/>
      <c r="GK159" s="65"/>
      <c r="GL159" s="13"/>
      <c r="GM159" s="14"/>
      <c r="GO159" s="65"/>
      <c r="GP159" s="13"/>
      <c r="GQ159" s="14"/>
      <c r="GS159" s="65"/>
      <c r="GT159" s="13"/>
      <c r="GU159" s="14"/>
      <c r="GW159" s="65"/>
      <c r="GX159" s="13"/>
      <c r="GY159" s="14"/>
      <c r="HA159" s="65"/>
      <c r="HB159" s="13"/>
      <c r="HC159" s="14"/>
      <c r="HE159" s="65"/>
      <c r="HF159" s="13"/>
      <c r="HG159" s="14"/>
      <c r="HI159" s="65"/>
      <c r="HJ159" s="13"/>
      <c r="HK159" s="14"/>
      <c r="HM159" s="65"/>
      <c r="HN159" s="13"/>
      <c r="HO159" s="14"/>
      <c r="HQ159" s="65"/>
      <c r="HR159" s="13"/>
      <c r="HS159" s="14"/>
      <c r="HU159" s="65"/>
      <c r="HV159" s="13"/>
      <c r="HW159" s="14"/>
      <c r="HY159" s="65"/>
      <c r="HZ159" s="13"/>
      <c r="IA159" s="14"/>
      <c r="IC159" s="65"/>
      <c r="ID159" s="13"/>
      <c r="IE159" s="14"/>
      <c r="IG159" s="65"/>
      <c r="IH159" s="13"/>
      <c r="II159" s="14"/>
      <c r="IK159" s="65"/>
      <c r="IL159" s="13"/>
      <c r="IM159" s="14"/>
      <c r="IO159" s="65"/>
      <c r="IP159" s="13"/>
      <c r="IQ159" s="14"/>
      <c r="IS159" s="65"/>
      <c r="IT159" s="13"/>
      <c r="IU159" s="14"/>
      <c r="IW159" s="65"/>
      <c r="IX159" s="13"/>
      <c r="IY159" s="14"/>
      <c r="JA159" s="65"/>
      <c r="JB159" s="13"/>
      <c r="JC159" s="14"/>
      <c r="JE159" s="65"/>
      <c r="JF159" s="13"/>
      <c r="JG159" s="14"/>
      <c r="JI159" s="65"/>
      <c r="JJ159" s="13"/>
      <c r="JK159" s="14"/>
      <c r="JM159" s="65"/>
      <c r="JN159" s="13"/>
      <c r="JO159" s="14"/>
      <c r="JQ159" s="65"/>
      <c r="JR159" s="13"/>
      <c r="JS159" s="14"/>
      <c r="JU159" s="65"/>
      <c r="JV159" s="13"/>
      <c r="JW159" s="14"/>
      <c r="JY159" s="65"/>
      <c r="JZ159" s="13"/>
      <c r="KA159" s="14"/>
      <c r="KC159" s="65"/>
      <c r="KD159" s="13"/>
      <c r="KE159" s="14"/>
      <c r="KG159" s="65"/>
      <c r="KH159" s="13"/>
      <c r="KI159" s="14"/>
      <c r="KK159" s="65"/>
      <c r="KL159" s="13"/>
      <c r="KM159" s="14"/>
      <c r="KO159" s="65"/>
      <c r="KP159" s="13"/>
      <c r="KQ159" s="14"/>
      <c r="KS159" s="65"/>
      <c r="KT159" s="13"/>
      <c r="KU159" s="14"/>
      <c r="KW159" s="65"/>
      <c r="KX159" s="13"/>
      <c r="KY159" s="14"/>
      <c r="LA159" s="65"/>
      <c r="LB159" s="13"/>
      <c r="LC159" s="14"/>
      <c r="LE159" s="65"/>
      <c r="LF159" s="13"/>
      <c r="LG159" s="14"/>
      <c r="LI159" s="65"/>
      <c r="LJ159" s="13"/>
      <c r="LK159" s="14"/>
      <c r="LM159" s="65"/>
      <c r="LN159" s="13"/>
      <c r="LO159" s="14"/>
      <c r="LQ159" s="65"/>
      <c r="LR159" s="13"/>
      <c r="LS159" s="14"/>
      <c r="LU159" s="65"/>
      <c r="LV159" s="13"/>
      <c r="LW159" s="14"/>
      <c r="LY159" s="65"/>
      <c r="LZ159" s="13"/>
      <c r="MA159" s="14"/>
      <c r="MC159" s="65"/>
      <c r="MD159" s="13"/>
      <c r="ME159" s="14"/>
      <c r="MG159" s="65"/>
      <c r="MH159" s="13"/>
      <c r="MI159" s="14"/>
      <c r="MK159" s="65"/>
      <c r="ML159" s="13"/>
      <c r="MM159" s="14"/>
      <c r="MO159" s="65"/>
      <c r="MP159" s="13"/>
      <c r="MQ159" s="14"/>
      <c r="MS159" s="65"/>
      <c r="MT159" s="13"/>
      <c r="MU159" s="14"/>
    </row>
    <row r="160" spans="1:359" hidden="1" x14ac:dyDescent="0.25">
      <c r="A160" s="15">
        <f t="shared" si="192"/>
        <v>0</v>
      </c>
      <c r="B160" s="20">
        <v>42854</v>
      </c>
      <c r="C160"/>
      <c r="D160" s="12">
        <v>16</v>
      </c>
      <c r="E160" s="12">
        <v>1143727.9575849099</v>
      </c>
      <c r="F160" s="14">
        <v>42584</v>
      </c>
      <c r="I160" s="12"/>
      <c r="J160" s="17"/>
      <c r="N160" s="12"/>
      <c r="O160" s="17"/>
      <c r="T160" s="15"/>
      <c r="U160" s="20"/>
      <c r="V160" s="36"/>
      <c r="W160" s="12"/>
      <c r="X160" s="12"/>
      <c r="Y160" s="14"/>
      <c r="AB160" s="12"/>
      <c r="AC160" s="17"/>
      <c r="AG160" s="12"/>
      <c r="AH160" s="17"/>
      <c r="AK160" s="12"/>
      <c r="AL160" s="13"/>
      <c r="AM160" s="14"/>
      <c r="CK160" s="65"/>
      <c r="CL160" s="13"/>
      <c r="CO160" s="65"/>
      <c r="CP160" s="13"/>
      <c r="CS160" s="65"/>
      <c r="CT160" s="13"/>
      <c r="CW160" s="65"/>
      <c r="CX160" s="13"/>
      <c r="DA160" s="65"/>
      <c r="DB160" s="13"/>
      <c r="DE160" s="65"/>
      <c r="DF160" s="13"/>
      <c r="DI160" s="65"/>
      <c r="DJ160" s="13"/>
      <c r="DM160" s="65"/>
      <c r="DN160" s="13"/>
      <c r="DQ160" s="65"/>
      <c r="DR160" s="13"/>
      <c r="DU160" s="65"/>
      <c r="DV160" s="13"/>
      <c r="DY160" s="65"/>
      <c r="DZ160" s="13"/>
      <c r="EA160" s="14"/>
      <c r="EC160" s="65"/>
      <c r="ED160" s="13"/>
      <c r="EE160" s="14"/>
      <c r="EG160" s="65"/>
      <c r="EH160" s="13"/>
      <c r="EI160" s="14"/>
      <c r="EK160" s="65"/>
      <c r="EL160" s="13"/>
      <c r="EM160" s="14"/>
      <c r="EO160" s="65"/>
      <c r="EP160" s="13"/>
      <c r="EQ160" s="14"/>
      <c r="ES160" s="65"/>
      <c r="ET160" s="13"/>
      <c r="EU160" s="14"/>
      <c r="EW160" s="65"/>
      <c r="EX160" s="13"/>
      <c r="EY160" s="14"/>
      <c r="FA160" s="65"/>
      <c r="FB160" s="13"/>
      <c r="FC160" s="14"/>
      <c r="FE160" s="65"/>
      <c r="FF160" s="13"/>
      <c r="FG160" s="14"/>
      <c r="FI160" s="65"/>
      <c r="FJ160" s="13"/>
      <c r="FK160" s="14"/>
      <c r="FM160" s="65"/>
      <c r="FN160" s="13"/>
      <c r="FO160" s="14"/>
      <c r="FQ160" s="65"/>
      <c r="FR160" s="13"/>
      <c r="FS160" s="14"/>
      <c r="FU160" s="65"/>
      <c r="FV160" s="13"/>
      <c r="FW160" s="14"/>
      <c r="FY160" s="65"/>
      <c r="FZ160" s="13"/>
      <c r="GA160" s="14"/>
      <c r="GC160" s="65"/>
      <c r="GD160" s="13"/>
      <c r="GE160" s="14"/>
      <c r="GG160" s="65"/>
      <c r="GH160" s="13"/>
      <c r="GI160" s="14"/>
      <c r="GK160" s="65"/>
      <c r="GL160" s="13"/>
      <c r="GM160" s="14"/>
      <c r="GO160" s="65"/>
      <c r="GP160" s="13"/>
      <c r="GQ160" s="14"/>
      <c r="GS160" s="65"/>
      <c r="GT160" s="13"/>
      <c r="GU160" s="14"/>
      <c r="GW160" s="65"/>
      <c r="GX160" s="13"/>
      <c r="GY160" s="14"/>
      <c r="HA160" s="65"/>
      <c r="HB160" s="13"/>
      <c r="HC160" s="14"/>
      <c r="HE160" s="65"/>
      <c r="HF160" s="13"/>
      <c r="HG160" s="14"/>
      <c r="HI160" s="65"/>
      <c r="HJ160" s="13"/>
      <c r="HK160" s="14"/>
      <c r="HM160" s="65"/>
      <c r="HN160" s="13"/>
      <c r="HO160" s="14"/>
      <c r="HQ160" s="65"/>
      <c r="HR160" s="13"/>
      <c r="HS160" s="14"/>
      <c r="HU160" s="65"/>
      <c r="HV160" s="13"/>
      <c r="HW160" s="14"/>
      <c r="HY160" s="65"/>
      <c r="HZ160" s="13"/>
      <c r="IA160" s="14"/>
      <c r="IC160" s="65"/>
      <c r="ID160" s="13"/>
      <c r="IE160" s="14"/>
      <c r="IG160" s="65"/>
      <c r="IH160" s="13"/>
      <c r="II160" s="14"/>
      <c r="IK160" s="65"/>
      <c r="IL160" s="13"/>
      <c r="IM160" s="14"/>
      <c r="IO160" s="65"/>
      <c r="IP160" s="13"/>
      <c r="IQ160" s="14"/>
      <c r="IS160" s="65"/>
      <c r="IT160" s="13"/>
      <c r="IU160" s="14"/>
      <c r="IW160" s="65"/>
      <c r="IX160" s="13"/>
      <c r="IY160" s="14"/>
      <c r="JA160" s="65"/>
      <c r="JB160" s="13"/>
      <c r="JC160" s="14"/>
      <c r="JE160" s="65"/>
      <c r="JF160" s="13"/>
      <c r="JG160" s="14"/>
      <c r="JI160" s="65"/>
      <c r="JJ160" s="13"/>
      <c r="JK160" s="14"/>
      <c r="JM160" s="65"/>
      <c r="JN160" s="13"/>
      <c r="JO160" s="14"/>
      <c r="JQ160" s="65"/>
      <c r="JR160" s="13"/>
      <c r="JS160" s="14"/>
      <c r="JU160" s="65"/>
      <c r="JV160" s="13"/>
      <c r="JW160" s="14"/>
      <c r="JY160" s="65"/>
      <c r="JZ160" s="13"/>
      <c r="KA160" s="14"/>
      <c r="KC160" s="65"/>
      <c r="KD160" s="13"/>
      <c r="KE160" s="14"/>
      <c r="KG160" s="65"/>
      <c r="KH160" s="13"/>
      <c r="KI160" s="14"/>
      <c r="KK160" s="65"/>
      <c r="KL160" s="13"/>
      <c r="KM160" s="14"/>
      <c r="KO160" s="65"/>
      <c r="KP160" s="13"/>
      <c r="KQ160" s="14"/>
      <c r="KS160" s="65"/>
      <c r="KT160" s="13"/>
      <c r="KU160" s="14"/>
      <c r="KW160" s="65"/>
      <c r="KX160" s="13"/>
      <c r="KY160" s="14"/>
      <c r="LA160" s="65"/>
      <c r="LB160" s="13"/>
      <c r="LC160" s="14"/>
      <c r="LE160" s="65"/>
      <c r="LF160" s="13"/>
      <c r="LG160" s="14"/>
      <c r="LI160" s="65"/>
      <c r="LJ160" s="13"/>
      <c r="LK160" s="14"/>
      <c r="LM160" s="65"/>
      <c r="LN160" s="13"/>
      <c r="LO160" s="14"/>
      <c r="LQ160" s="65"/>
      <c r="LR160" s="13"/>
      <c r="LS160" s="14"/>
      <c r="LU160" s="65"/>
      <c r="LV160" s="13"/>
      <c r="LW160" s="14"/>
      <c r="LY160" s="65"/>
      <c r="LZ160" s="13"/>
      <c r="MA160" s="14"/>
      <c r="MC160" s="65"/>
      <c r="MD160" s="13"/>
      <c r="ME160" s="14"/>
      <c r="MG160" s="65"/>
      <c r="MH160" s="13"/>
      <c r="MI160" s="14"/>
      <c r="MK160" s="65"/>
      <c r="ML160" s="13"/>
      <c r="MM160" s="14"/>
      <c r="MO160" s="65"/>
      <c r="MP160" s="13"/>
      <c r="MQ160" s="14"/>
      <c r="MS160" s="65"/>
      <c r="MT160" s="13"/>
      <c r="MU160" s="14"/>
    </row>
    <row r="161" spans="1:359" hidden="1" x14ac:dyDescent="0.25">
      <c r="A161" s="15">
        <f t="shared" si="192"/>
        <v>0</v>
      </c>
      <c r="B161" s="20">
        <v>42855</v>
      </c>
      <c r="C161"/>
      <c r="D161" s="12">
        <v>15</v>
      </c>
      <c r="E161" s="12">
        <v>1143755.2479647601</v>
      </c>
      <c r="F161" s="14">
        <v>42585</v>
      </c>
      <c r="I161" s="12"/>
      <c r="J161" s="17"/>
      <c r="N161" s="12"/>
      <c r="O161" s="17"/>
      <c r="T161" s="15"/>
      <c r="U161" s="20"/>
      <c r="V161" s="36"/>
      <c r="W161" s="12"/>
      <c r="X161" s="12"/>
      <c r="Y161" s="14"/>
      <c r="AB161" s="12"/>
      <c r="AC161" s="17"/>
      <c r="AG161" s="12"/>
      <c r="AH161" s="17"/>
      <c r="AK161" s="12"/>
      <c r="AL161" s="13"/>
      <c r="AM161" s="14"/>
      <c r="CK161" s="65"/>
      <c r="CL161" s="13"/>
      <c r="CO161" s="65"/>
      <c r="CP161" s="13"/>
      <c r="CS161" s="65"/>
      <c r="CT161" s="13"/>
      <c r="CW161" s="65"/>
      <c r="CX161" s="13"/>
      <c r="DA161" s="65"/>
      <c r="DB161" s="13"/>
      <c r="DE161" s="65"/>
      <c r="DF161" s="13"/>
      <c r="DI161" s="65"/>
      <c r="DJ161" s="13"/>
      <c r="DM161" s="65"/>
      <c r="DN161" s="13"/>
      <c r="DQ161" s="65"/>
      <c r="DR161" s="13"/>
      <c r="DU161" s="65"/>
      <c r="DV161" s="13"/>
      <c r="DY161" s="65"/>
      <c r="DZ161" s="13"/>
      <c r="EA161" s="14"/>
      <c r="EC161" s="65"/>
      <c r="ED161" s="13"/>
      <c r="EE161" s="14"/>
      <c r="EG161" s="65"/>
      <c r="EH161" s="13"/>
      <c r="EI161" s="14"/>
      <c r="EK161" s="65"/>
      <c r="EL161" s="13"/>
      <c r="EM161" s="14"/>
      <c r="EO161" s="65"/>
      <c r="EP161" s="13"/>
      <c r="EQ161" s="14"/>
      <c r="ES161" s="65"/>
      <c r="ET161" s="13"/>
      <c r="EU161" s="14"/>
      <c r="EW161" s="65"/>
      <c r="EX161" s="13"/>
      <c r="EY161" s="14"/>
      <c r="FA161" s="65"/>
      <c r="FB161" s="13"/>
      <c r="FC161" s="14"/>
      <c r="FE161" s="65"/>
      <c r="FF161" s="13"/>
      <c r="FG161" s="14"/>
      <c r="FI161" s="65"/>
      <c r="FJ161" s="13"/>
      <c r="FK161" s="14"/>
      <c r="FM161" s="65"/>
      <c r="FN161" s="13"/>
      <c r="FO161" s="14"/>
      <c r="FQ161" s="65"/>
      <c r="FR161" s="13"/>
      <c r="FS161" s="14"/>
      <c r="FU161" s="65"/>
      <c r="FV161" s="13"/>
      <c r="FW161" s="14"/>
      <c r="FY161" s="65"/>
      <c r="FZ161" s="13"/>
      <c r="GA161" s="14"/>
      <c r="GC161" s="65"/>
      <c r="GD161" s="13"/>
      <c r="GE161" s="14"/>
      <c r="GG161" s="65"/>
      <c r="GH161" s="13"/>
      <c r="GI161" s="14"/>
      <c r="GK161" s="65"/>
      <c r="GL161" s="13"/>
      <c r="GM161" s="14"/>
      <c r="GO161" s="65"/>
      <c r="GP161" s="13"/>
      <c r="GQ161" s="14"/>
      <c r="GS161" s="65"/>
      <c r="GT161" s="13"/>
      <c r="GU161" s="14"/>
      <c r="GW161" s="65"/>
      <c r="GX161" s="13"/>
      <c r="GY161" s="14"/>
      <c r="HA161" s="65"/>
      <c r="HB161" s="13"/>
      <c r="HC161" s="14"/>
      <c r="HE161" s="65"/>
      <c r="HF161" s="13"/>
      <c r="HG161" s="14"/>
      <c r="HI161" s="65"/>
      <c r="HJ161" s="13"/>
      <c r="HK161" s="14"/>
      <c r="HM161" s="65"/>
      <c r="HN161" s="13"/>
      <c r="HO161" s="14"/>
      <c r="HQ161" s="65"/>
      <c r="HR161" s="13"/>
      <c r="HS161" s="14"/>
      <c r="HU161" s="65"/>
      <c r="HV161" s="13"/>
      <c r="HW161" s="14"/>
      <c r="HY161" s="65"/>
      <c r="HZ161" s="13"/>
      <c r="IA161" s="14"/>
      <c r="IC161" s="65"/>
      <c r="ID161" s="13"/>
      <c r="IE161" s="14"/>
      <c r="IG161" s="65"/>
      <c r="IH161" s="13"/>
      <c r="II161" s="14"/>
      <c r="IK161" s="65"/>
      <c r="IL161" s="13"/>
      <c r="IM161" s="14"/>
      <c r="IO161" s="65"/>
      <c r="IP161" s="13"/>
      <c r="IQ161" s="14"/>
      <c r="IS161" s="65"/>
      <c r="IT161" s="13"/>
      <c r="IU161" s="14"/>
      <c r="IW161" s="65"/>
      <c r="IX161" s="13"/>
      <c r="IY161" s="14"/>
      <c r="JA161" s="65"/>
      <c r="JB161" s="13"/>
      <c r="JC161" s="14"/>
      <c r="JE161" s="65"/>
      <c r="JF161" s="13"/>
      <c r="JG161" s="14"/>
      <c r="JI161" s="65"/>
      <c r="JJ161" s="13"/>
      <c r="JK161" s="14"/>
      <c r="JM161" s="65"/>
      <c r="JN161" s="13"/>
      <c r="JO161" s="14"/>
      <c r="JQ161" s="65"/>
      <c r="JR161" s="13"/>
      <c r="JS161" s="14"/>
      <c r="JU161" s="65"/>
      <c r="JV161" s="13"/>
      <c r="JW161" s="14"/>
      <c r="JY161" s="65"/>
      <c r="JZ161" s="13"/>
      <c r="KA161" s="14"/>
      <c r="KC161" s="65"/>
      <c r="KD161" s="13"/>
      <c r="KE161" s="14"/>
      <c r="KG161" s="65"/>
      <c r="KH161" s="13"/>
      <c r="KI161" s="14"/>
      <c r="KK161" s="65"/>
      <c r="KL161" s="13"/>
      <c r="KM161" s="14"/>
      <c r="KO161" s="65"/>
      <c r="KP161" s="13"/>
      <c r="KQ161" s="14"/>
      <c r="KS161" s="65"/>
      <c r="KT161" s="13"/>
      <c r="KU161" s="14"/>
      <c r="KW161" s="65"/>
      <c r="KX161" s="13"/>
      <c r="KY161" s="14"/>
      <c r="LA161" s="65"/>
      <c r="LB161" s="13"/>
      <c r="LC161" s="14"/>
      <c r="LE161" s="65"/>
      <c r="LF161" s="13"/>
      <c r="LG161" s="14"/>
      <c r="LI161" s="65"/>
      <c r="LJ161" s="13"/>
      <c r="LK161" s="14"/>
      <c r="LM161" s="65"/>
      <c r="LN161" s="13"/>
      <c r="LO161" s="14"/>
      <c r="LQ161" s="65"/>
      <c r="LR161" s="13"/>
      <c r="LS161" s="14"/>
      <c r="LU161" s="65"/>
      <c r="LV161" s="13"/>
      <c r="LW161" s="14"/>
      <c r="LY161" s="65"/>
      <c r="LZ161" s="13"/>
      <c r="MA161" s="14"/>
      <c r="MC161" s="65"/>
      <c r="MD161" s="13"/>
      <c r="ME161" s="14"/>
      <c r="MG161" s="65"/>
      <c r="MH161" s="13"/>
      <c r="MI161" s="14"/>
      <c r="MK161" s="65"/>
      <c r="ML161" s="13"/>
      <c r="MM161" s="14"/>
      <c r="MO161" s="65"/>
      <c r="MP161" s="13"/>
      <c r="MQ161" s="14"/>
      <c r="MS161" s="65"/>
      <c r="MT161" s="13"/>
      <c r="MU161" s="14"/>
    </row>
    <row r="162" spans="1:359" hidden="1" x14ac:dyDescent="0.25">
      <c r="A162" s="15">
        <f t="shared" si="192"/>
        <v>0</v>
      </c>
      <c r="B162" s="20">
        <v>42856</v>
      </c>
      <c r="C162"/>
      <c r="D162" s="12">
        <v>14</v>
      </c>
      <c r="E162" s="12">
        <v>1143782.5396469871</v>
      </c>
      <c r="F162" s="14">
        <v>42586</v>
      </c>
      <c r="I162" s="12"/>
      <c r="J162" s="17"/>
      <c r="N162" s="12"/>
      <c r="O162" s="17"/>
      <c r="T162" s="15"/>
      <c r="U162" s="20"/>
      <c r="V162" s="36"/>
      <c r="W162" s="12"/>
      <c r="X162" s="12"/>
      <c r="Y162" s="14"/>
      <c r="AB162" s="12"/>
      <c r="AC162" s="17"/>
      <c r="AG162" s="12"/>
      <c r="AH162" s="17"/>
      <c r="AK162" s="12"/>
      <c r="AL162" s="13"/>
      <c r="AM162" s="14"/>
      <c r="CK162" s="65"/>
      <c r="CL162" s="13"/>
      <c r="CO162" s="65"/>
      <c r="CP162" s="13"/>
      <c r="CS162" s="65"/>
      <c r="CT162" s="13"/>
      <c r="CW162" s="65"/>
      <c r="CX162" s="13"/>
      <c r="DA162" s="65"/>
      <c r="DB162" s="13"/>
      <c r="DE162" s="65"/>
      <c r="DF162" s="13"/>
      <c r="DI162" s="65"/>
      <c r="DJ162" s="13"/>
      <c r="DM162" s="65"/>
      <c r="DN162" s="13"/>
      <c r="DQ162" s="65"/>
      <c r="DR162" s="13"/>
      <c r="DU162" s="65"/>
      <c r="DV162" s="13"/>
      <c r="DY162" s="65"/>
      <c r="DZ162" s="13"/>
      <c r="EA162" s="14"/>
      <c r="EC162" s="65"/>
      <c r="ED162" s="13"/>
      <c r="EE162" s="14"/>
      <c r="EG162" s="65"/>
      <c r="EH162" s="13"/>
      <c r="EI162" s="14"/>
      <c r="EK162" s="65"/>
      <c r="EL162" s="13"/>
      <c r="EM162" s="14"/>
      <c r="EO162" s="65"/>
      <c r="EP162" s="13"/>
      <c r="EQ162" s="14"/>
      <c r="ES162" s="65"/>
      <c r="ET162" s="13"/>
      <c r="EU162" s="14"/>
      <c r="EW162" s="65"/>
      <c r="EX162" s="13"/>
      <c r="EY162" s="14"/>
      <c r="FA162" s="65"/>
      <c r="FB162" s="13"/>
      <c r="FC162" s="14"/>
      <c r="FE162" s="65"/>
      <c r="FF162" s="13"/>
      <c r="FG162" s="14"/>
      <c r="FI162" s="65"/>
      <c r="FJ162" s="13"/>
      <c r="FK162" s="14"/>
      <c r="FM162" s="65"/>
      <c r="FN162" s="13"/>
      <c r="FO162" s="14"/>
      <c r="FQ162" s="65"/>
      <c r="FR162" s="13"/>
      <c r="FS162" s="14"/>
      <c r="FU162" s="65"/>
      <c r="FV162" s="13"/>
      <c r="FW162" s="14"/>
      <c r="FY162" s="65"/>
      <c r="FZ162" s="13"/>
      <c r="GA162" s="14"/>
      <c r="GC162" s="65"/>
      <c r="GD162" s="13"/>
      <c r="GE162" s="14"/>
      <c r="GG162" s="65"/>
      <c r="GH162" s="13"/>
      <c r="GI162" s="14"/>
      <c r="GK162" s="65"/>
      <c r="GL162" s="13"/>
      <c r="GM162" s="14"/>
      <c r="GO162" s="65"/>
      <c r="GP162" s="13"/>
      <c r="GQ162" s="14"/>
      <c r="GS162" s="65"/>
      <c r="GT162" s="13"/>
      <c r="GU162" s="14"/>
      <c r="GW162" s="65"/>
      <c r="GX162" s="13"/>
      <c r="GY162" s="14"/>
      <c r="HA162" s="65"/>
      <c r="HB162" s="13"/>
      <c r="HC162" s="14"/>
      <c r="HE162" s="65"/>
      <c r="HF162" s="13"/>
      <c r="HG162" s="14"/>
      <c r="HI162" s="65"/>
      <c r="HJ162" s="13"/>
      <c r="HK162" s="14"/>
      <c r="HM162" s="65"/>
      <c r="HN162" s="13"/>
      <c r="HO162" s="14"/>
      <c r="HQ162" s="65"/>
      <c r="HR162" s="13"/>
      <c r="HS162" s="14"/>
      <c r="HU162" s="65"/>
      <c r="HV162" s="13"/>
      <c r="HW162" s="14"/>
      <c r="HY162" s="65"/>
      <c r="HZ162" s="13"/>
      <c r="IA162" s="14"/>
      <c r="IC162" s="65"/>
      <c r="ID162" s="13"/>
      <c r="IE162" s="14"/>
      <c r="IG162" s="65"/>
      <c r="IH162" s="13"/>
      <c r="II162" s="14"/>
      <c r="IK162" s="65"/>
      <c r="IL162" s="13"/>
      <c r="IM162" s="14"/>
      <c r="IO162" s="65"/>
      <c r="IP162" s="13"/>
      <c r="IQ162" s="14"/>
      <c r="IS162" s="65"/>
      <c r="IT162" s="13"/>
      <c r="IU162" s="14"/>
      <c r="IW162" s="65"/>
      <c r="IX162" s="13"/>
      <c r="IY162" s="14"/>
      <c r="JA162" s="65"/>
      <c r="JB162" s="13"/>
      <c r="JC162" s="14"/>
      <c r="JE162" s="65"/>
      <c r="JF162" s="13"/>
      <c r="JG162" s="14"/>
      <c r="JI162" s="65"/>
      <c r="JJ162" s="13"/>
      <c r="JK162" s="14"/>
      <c r="JM162" s="65"/>
      <c r="JN162" s="13"/>
      <c r="JO162" s="14"/>
      <c r="JQ162" s="65"/>
      <c r="JR162" s="13"/>
      <c r="JS162" s="14"/>
      <c r="JU162" s="65"/>
      <c r="JV162" s="13"/>
      <c r="JW162" s="14"/>
      <c r="JY162" s="65"/>
      <c r="JZ162" s="13"/>
      <c r="KA162" s="14"/>
      <c r="KC162" s="65"/>
      <c r="KD162" s="13"/>
      <c r="KE162" s="14"/>
      <c r="KG162" s="65"/>
      <c r="KH162" s="13"/>
      <c r="KI162" s="14"/>
      <c r="KK162" s="65"/>
      <c r="KL162" s="13"/>
      <c r="KM162" s="14"/>
      <c r="KO162" s="65"/>
      <c r="KP162" s="13"/>
      <c r="KQ162" s="14"/>
      <c r="KS162" s="65"/>
      <c r="KT162" s="13"/>
      <c r="KU162" s="14"/>
      <c r="KW162" s="65"/>
      <c r="KX162" s="13"/>
      <c r="KY162" s="14"/>
      <c r="LA162" s="65"/>
      <c r="LB162" s="13"/>
      <c r="LC162" s="14"/>
      <c r="LE162" s="65"/>
      <c r="LF162" s="13"/>
      <c r="LG162" s="14"/>
      <c r="LI162" s="65"/>
      <c r="LJ162" s="13"/>
      <c r="LK162" s="14"/>
      <c r="LM162" s="65"/>
      <c r="LN162" s="13"/>
      <c r="LO162" s="14"/>
      <c r="LQ162" s="65"/>
      <c r="LR162" s="13"/>
      <c r="LS162" s="14"/>
      <c r="LU162" s="65"/>
      <c r="LV162" s="13"/>
      <c r="LW162" s="14"/>
      <c r="LY162" s="65"/>
      <c r="LZ162" s="13"/>
      <c r="MA162" s="14"/>
      <c r="MC162" s="65"/>
      <c r="MD162" s="13"/>
      <c r="ME162" s="14"/>
      <c r="MG162" s="65"/>
      <c r="MH162" s="13"/>
      <c r="MI162" s="14"/>
      <c r="MK162" s="65"/>
      <c r="ML162" s="13"/>
      <c r="MM162" s="14"/>
      <c r="MO162" s="65"/>
      <c r="MP162" s="13"/>
      <c r="MQ162" s="14"/>
      <c r="MS162" s="65"/>
      <c r="MT162" s="13"/>
      <c r="MU162" s="14"/>
    </row>
    <row r="163" spans="1:359" hidden="1" x14ac:dyDescent="0.25">
      <c r="A163" s="15">
        <f t="shared" si="192"/>
        <v>0</v>
      </c>
      <c r="B163" s="20">
        <v>42857</v>
      </c>
      <c r="C163"/>
      <c r="D163" s="12">
        <v>13</v>
      </c>
      <c r="E163" s="12">
        <v>1143809.8326316848</v>
      </c>
      <c r="F163" s="14">
        <v>42587</v>
      </c>
      <c r="I163" s="12"/>
      <c r="J163" s="17"/>
      <c r="N163" s="12"/>
      <c r="O163" s="17"/>
      <c r="T163" s="15"/>
      <c r="U163" s="20"/>
      <c r="V163" s="36"/>
      <c r="W163" s="12"/>
      <c r="X163" s="12"/>
      <c r="Y163" s="14"/>
      <c r="AB163" s="12"/>
      <c r="AC163" s="17"/>
      <c r="AG163" s="12"/>
      <c r="AH163" s="17"/>
      <c r="AK163" s="12"/>
      <c r="AL163" s="13"/>
      <c r="AM163" s="14"/>
      <c r="CK163" s="65"/>
      <c r="CL163" s="13"/>
      <c r="CO163" s="65"/>
      <c r="CP163" s="13"/>
      <c r="CS163" s="65"/>
      <c r="CT163" s="13"/>
      <c r="CW163" s="65"/>
      <c r="CX163" s="13"/>
      <c r="DA163" s="65"/>
      <c r="DB163" s="13"/>
      <c r="DE163" s="65"/>
      <c r="DF163" s="13"/>
      <c r="DI163" s="65"/>
      <c r="DJ163" s="13"/>
      <c r="DM163" s="65"/>
      <c r="DN163" s="13"/>
      <c r="DQ163" s="65"/>
      <c r="DR163" s="13"/>
      <c r="DU163" s="65"/>
      <c r="DV163" s="13"/>
      <c r="DY163" s="65"/>
      <c r="DZ163" s="13"/>
      <c r="EA163" s="14"/>
      <c r="EC163" s="65"/>
      <c r="ED163" s="13"/>
      <c r="EE163" s="14"/>
      <c r="EG163" s="65"/>
      <c r="EH163" s="13"/>
      <c r="EI163" s="14"/>
      <c r="EK163" s="65"/>
      <c r="EL163" s="13"/>
      <c r="EM163" s="14"/>
      <c r="EO163" s="65"/>
      <c r="EP163" s="13"/>
      <c r="EQ163" s="14"/>
      <c r="ES163" s="65"/>
      <c r="ET163" s="13"/>
      <c r="EU163" s="14"/>
      <c r="EW163" s="65"/>
      <c r="EX163" s="13"/>
      <c r="EY163" s="14"/>
      <c r="FA163" s="65"/>
      <c r="FB163" s="13"/>
      <c r="FC163" s="14"/>
      <c r="FE163" s="65"/>
      <c r="FF163" s="13"/>
      <c r="FG163" s="14"/>
      <c r="FI163" s="65"/>
      <c r="FJ163" s="13"/>
      <c r="FK163" s="14"/>
      <c r="FM163" s="65"/>
      <c r="FN163" s="13"/>
      <c r="FO163" s="14"/>
      <c r="FQ163" s="65"/>
      <c r="FR163" s="13"/>
      <c r="FS163" s="14"/>
      <c r="FU163" s="65"/>
      <c r="FV163" s="13"/>
      <c r="FW163" s="14"/>
      <c r="FY163" s="65"/>
      <c r="FZ163" s="13"/>
      <c r="GA163" s="14"/>
      <c r="GC163" s="65"/>
      <c r="GD163" s="13"/>
      <c r="GE163" s="14"/>
      <c r="GG163" s="65"/>
      <c r="GH163" s="13"/>
      <c r="GI163" s="14"/>
      <c r="GK163" s="65"/>
      <c r="GL163" s="13"/>
      <c r="GM163" s="14"/>
      <c r="GO163" s="65"/>
      <c r="GP163" s="13"/>
      <c r="GQ163" s="14"/>
      <c r="GS163" s="65"/>
      <c r="GT163" s="13"/>
      <c r="GU163" s="14"/>
      <c r="GW163" s="65"/>
      <c r="GX163" s="13"/>
      <c r="GY163" s="14"/>
      <c r="HA163" s="65"/>
      <c r="HB163" s="13"/>
      <c r="HC163" s="14"/>
      <c r="HE163" s="65"/>
      <c r="HF163" s="13"/>
      <c r="HG163" s="14"/>
      <c r="HI163" s="65"/>
      <c r="HJ163" s="13"/>
      <c r="HK163" s="14"/>
      <c r="HM163" s="65"/>
      <c r="HN163" s="13"/>
      <c r="HO163" s="14"/>
      <c r="HQ163" s="65"/>
      <c r="HR163" s="13"/>
      <c r="HS163" s="14"/>
      <c r="HU163" s="65"/>
      <c r="HV163" s="13"/>
      <c r="HW163" s="14"/>
      <c r="HY163" s="65"/>
      <c r="HZ163" s="13"/>
      <c r="IA163" s="14"/>
      <c r="IC163" s="65"/>
      <c r="ID163" s="13"/>
      <c r="IE163" s="14"/>
      <c r="IG163" s="65"/>
      <c r="IH163" s="13"/>
      <c r="II163" s="14"/>
      <c r="IK163" s="65"/>
      <c r="IL163" s="13"/>
      <c r="IM163" s="14"/>
      <c r="IO163" s="65"/>
      <c r="IP163" s="13"/>
      <c r="IQ163" s="14"/>
      <c r="IS163" s="65"/>
      <c r="IT163" s="13"/>
      <c r="IU163" s="14"/>
      <c r="IW163" s="65"/>
      <c r="IX163" s="13"/>
      <c r="IY163" s="14"/>
      <c r="JA163" s="65"/>
      <c r="JB163" s="13"/>
      <c r="JC163" s="14"/>
      <c r="JE163" s="65"/>
      <c r="JF163" s="13"/>
      <c r="JG163" s="14"/>
      <c r="JI163" s="65"/>
      <c r="JJ163" s="13"/>
      <c r="JK163" s="14"/>
      <c r="JM163" s="65"/>
      <c r="JN163" s="13"/>
      <c r="JO163" s="14"/>
      <c r="JQ163" s="65"/>
      <c r="JR163" s="13"/>
      <c r="JS163" s="14"/>
      <c r="JU163" s="65"/>
      <c r="JV163" s="13"/>
      <c r="JW163" s="14"/>
      <c r="JY163" s="65"/>
      <c r="JZ163" s="13"/>
      <c r="KA163" s="14"/>
      <c r="KC163" s="65"/>
      <c r="KD163" s="13"/>
      <c r="KE163" s="14"/>
      <c r="KG163" s="65"/>
      <c r="KH163" s="13"/>
      <c r="KI163" s="14"/>
      <c r="KK163" s="65"/>
      <c r="KL163" s="13"/>
      <c r="KM163" s="14"/>
      <c r="KO163" s="65"/>
      <c r="KP163" s="13"/>
      <c r="KQ163" s="14"/>
      <c r="KS163" s="65"/>
      <c r="KT163" s="13"/>
      <c r="KU163" s="14"/>
      <c r="KW163" s="65"/>
      <c r="KX163" s="13"/>
      <c r="KY163" s="14"/>
      <c r="LA163" s="65"/>
      <c r="LB163" s="13"/>
      <c r="LC163" s="14"/>
      <c r="LE163" s="65"/>
      <c r="LF163" s="13"/>
      <c r="LG163" s="14"/>
      <c r="LI163" s="65"/>
      <c r="LJ163" s="13"/>
      <c r="LK163" s="14"/>
      <c r="LM163" s="65"/>
      <c r="LN163" s="13"/>
      <c r="LO163" s="14"/>
      <c r="LQ163" s="65"/>
      <c r="LR163" s="13"/>
      <c r="LS163" s="14"/>
      <c r="LU163" s="65"/>
      <c r="LV163" s="13"/>
      <c r="LW163" s="14"/>
      <c r="LY163" s="65"/>
      <c r="LZ163" s="13"/>
      <c r="MA163" s="14"/>
      <c r="MC163" s="65"/>
      <c r="MD163" s="13"/>
      <c r="ME163" s="14"/>
      <c r="MG163" s="65"/>
      <c r="MH163" s="13"/>
      <c r="MI163" s="14"/>
      <c r="MK163" s="65"/>
      <c r="ML163" s="13"/>
      <c r="MM163" s="14"/>
      <c r="MO163" s="65"/>
      <c r="MP163" s="13"/>
      <c r="MQ163" s="14"/>
      <c r="MS163" s="65"/>
      <c r="MT163" s="13"/>
      <c r="MU163" s="14"/>
    </row>
    <row r="164" spans="1:359" hidden="1" x14ac:dyDescent="0.25">
      <c r="A164" s="15">
        <f t="shared" si="192"/>
        <v>0</v>
      </c>
      <c r="B164" s="20">
        <v>42858</v>
      </c>
      <c r="C164"/>
      <c r="D164" s="12">
        <v>12</v>
      </c>
      <c r="E164" s="12">
        <v>1143837.1269189464</v>
      </c>
      <c r="F164" s="14">
        <v>42588</v>
      </c>
      <c r="I164" s="12"/>
      <c r="J164" s="12"/>
      <c r="N164" s="12"/>
      <c r="O164" s="12"/>
      <c r="T164" s="15"/>
      <c r="U164" s="20"/>
      <c r="V164" s="36"/>
      <c r="W164" s="12"/>
      <c r="X164" s="12"/>
      <c r="Y164" s="14"/>
      <c r="AB164" s="12"/>
      <c r="AC164" s="12"/>
      <c r="AG164" s="12"/>
      <c r="AH164" s="12"/>
      <c r="AK164" s="12"/>
      <c r="AL164" s="13"/>
      <c r="AM164" s="14"/>
      <c r="CK164" s="65"/>
      <c r="CL164" s="13"/>
      <c r="CO164" s="65"/>
      <c r="CP164" s="13"/>
      <c r="CS164" s="65"/>
      <c r="CT164" s="13"/>
      <c r="CW164" s="65"/>
      <c r="CX164" s="13"/>
      <c r="DA164" s="65"/>
      <c r="DB164" s="13"/>
      <c r="DE164" s="65"/>
      <c r="DF164" s="13"/>
      <c r="DI164" s="65"/>
      <c r="DJ164" s="13"/>
      <c r="DM164" s="65"/>
      <c r="DN164" s="13"/>
      <c r="DQ164" s="65"/>
      <c r="DR164" s="13"/>
      <c r="DU164" s="65"/>
      <c r="DV164" s="13"/>
      <c r="DY164" s="65"/>
      <c r="DZ164" s="13"/>
      <c r="EA164" s="14"/>
      <c r="EC164" s="65"/>
      <c r="ED164" s="13"/>
      <c r="EE164" s="14"/>
      <c r="EG164" s="65"/>
      <c r="EH164" s="13"/>
      <c r="EI164" s="14"/>
      <c r="EK164" s="65"/>
      <c r="EL164" s="13"/>
      <c r="EM164" s="14"/>
      <c r="EO164" s="65"/>
      <c r="EP164" s="13"/>
      <c r="EQ164" s="14"/>
      <c r="ES164" s="65"/>
      <c r="ET164" s="13"/>
      <c r="EU164" s="14"/>
      <c r="EW164" s="65"/>
      <c r="EX164" s="13"/>
      <c r="EY164" s="14"/>
      <c r="FA164" s="65"/>
      <c r="FB164" s="13"/>
      <c r="FC164" s="14"/>
      <c r="FE164" s="65"/>
      <c r="FF164" s="13"/>
      <c r="FG164" s="14"/>
      <c r="FI164" s="65"/>
      <c r="FJ164" s="13"/>
      <c r="FK164" s="14"/>
      <c r="FM164" s="65"/>
      <c r="FN164" s="13"/>
      <c r="FO164" s="14"/>
      <c r="FQ164" s="65"/>
      <c r="FR164" s="13"/>
      <c r="FS164" s="14"/>
      <c r="FU164" s="65"/>
      <c r="FV164" s="13"/>
      <c r="FW164" s="14"/>
      <c r="FY164" s="65"/>
      <c r="FZ164" s="13"/>
      <c r="GA164" s="14"/>
      <c r="GC164" s="65"/>
      <c r="GD164" s="13"/>
      <c r="GE164" s="14"/>
      <c r="GG164" s="65"/>
      <c r="GH164" s="13"/>
      <c r="GI164" s="14"/>
      <c r="GK164" s="65"/>
      <c r="GL164" s="13"/>
      <c r="GM164" s="14"/>
      <c r="GO164" s="65"/>
      <c r="GP164" s="13"/>
      <c r="GQ164" s="14"/>
      <c r="GS164" s="65"/>
      <c r="GT164" s="13"/>
      <c r="GU164" s="14"/>
      <c r="GW164" s="65"/>
      <c r="GX164" s="13"/>
      <c r="GY164" s="14"/>
      <c r="HA164" s="65"/>
      <c r="HB164" s="13"/>
      <c r="HC164" s="14"/>
      <c r="HE164" s="65"/>
      <c r="HF164" s="13"/>
      <c r="HG164" s="14"/>
      <c r="HI164" s="65"/>
      <c r="HJ164" s="13"/>
      <c r="HK164" s="14"/>
      <c r="HM164" s="65"/>
      <c r="HN164" s="13"/>
      <c r="HO164" s="14"/>
      <c r="HQ164" s="65"/>
      <c r="HR164" s="13"/>
      <c r="HS164" s="14"/>
      <c r="HU164" s="65"/>
      <c r="HV164" s="13"/>
      <c r="HW164" s="14"/>
      <c r="HY164" s="65"/>
      <c r="HZ164" s="13"/>
      <c r="IA164" s="14"/>
      <c r="IC164" s="65"/>
      <c r="ID164" s="13"/>
      <c r="IE164" s="14"/>
      <c r="IG164" s="65"/>
      <c r="IH164" s="13"/>
      <c r="II164" s="14"/>
      <c r="IK164" s="65"/>
      <c r="IL164" s="13"/>
      <c r="IM164" s="14"/>
      <c r="IO164" s="65"/>
      <c r="IP164" s="13"/>
      <c r="IQ164" s="14"/>
      <c r="IS164" s="65"/>
      <c r="IT164" s="13"/>
      <c r="IU164" s="14"/>
      <c r="IW164" s="65"/>
      <c r="IX164" s="13"/>
      <c r="IY164" s="14"/>
      <c r="JA164" s="65"/>
      <c r="JB164" s="13"/>
      <c r="JC164" s="14"/>
      <c r="JE164" s="65"/>
      <c r="JF164" s="13"/>
      <c r="JG164" s="14"/>
      <c r="JI164" s="65"/>
      <c r="JJ164" s="13"/>
      <c r="JK164" s="14"/>
      <c r="JM164" s="65"/>
      <c r="JN164" s="13"/>
      <c r="JO164" s="14"/>
      <c r="JQ164" s="65"/>
      <c r="JR164" s="13"/>
      <c r="JS164" s="14"/>
      <c r="JU164" s="65"/>
      <c r="JV164" s="13"/>
      <c r="JW164" s="14"/>
      <c r="JY164" s="65"/>
      <c r="JZ164" s="13"/>
      <c r="KA164" s="14"/>
      <c r="KC164" s="65"/>
      <c r="KD164" s="13"/>
      <c r="KE164" s="14"/>
      <c r="KG164" s="65"/>
      <c r="KH164" s="13"/>
      <c r="KI164" s="14"/>
      <c r="KK164" s="65"/>
      <c r="KL164" s="13"/>
      <c r="KM164" s="14"/>
      <c r="KO164" s="65"/>
      <c r="KP164" s="13"/>
      <c r="KQ164" s="14"/>
      <c r="KS164" s="65"/>
      <c r="KT164" s="13"/>
      <c r="KU164" s="14"/>
      <c r="KW164" s="65"/>
      <c r="KX164" s="13"/>
      <c r="KY164" s="14"/>
      <c r="LA164" s="65"/>
      <c r="LB164" s="13"/>
      <c r="LC164" s="14"/>
      <c r="LE164" s="65"/>
      <c r="LF164" s="13"/>
      <c r="LG164" s="14"/>
      <c r="LI164" s="65"/>
      <c r="LJ164" s="13"/>
      <c r="LK164" s="14"/>
      <c r="LM164" s="65"/>
      <c r="LN164" s="13"/>
      <c r="LO164" s="14"/>
      <c r="LQ164" s="65"/>
      <c r="LR164" s="13"/>
      <c r="LS164" s="14"/>
      <c r="LU164" s="65"/>
      <c r="LV164" s="13"/>
      <c r="LW164" s="14"/>
      <c r="LY164" s="65"/>
      <c r="LZ164" s="13"/>
      <c r="MA164" s="14"/>
      <c r="MC164" s="65"/>
      <c r="MD164" s="13"/>
      <c r="ME164" s="14"/>
      <c r="MG164" s="65"/>
      <c r="MH164" s="13"/>
      <c r="MI164" s="14"/>
      <c r="MK164" s="65"/>
      <c r="ML164" s="13"/>
      <c r="MM164" s="14"/>
      <c r="MO164" s="65"/>
      <c r="MP164" s="13"/>
      <c r="MQ164" s="14"/>
      <c r="MS164" s="65"/>
      <c r="MT164" s="13"/>
      <c r="MU164" s="14"/>
    </row>
    <row r="165" spans="1:359" hidden="1" x14ac:dyDescent="0.25">
      <c r="A165" s="15">
        <f t="shared" si="192"/>
        <v>0</v>
      </c>
      <c r="B165" s="20">
        <v>42859</v>
      </c>
      <c r="C165"/>
      <c r="D165" s="12">
        <v>11</v>
      </c>
      <c r="E165" s="12">
        <v>1143864.4225088644</v>
      </c>
      <c r="F165" s="14">
        <v>42589</v>
      </c>
      <c r="I165" s="12"/>
      <c r="J165" s="12"/>
      <c r="N165" s="12"/>
      <c r="O165" s="12"/>
      <c r="T165" s="15"/>
      <c r="U165" s="20"/>
      <c r="V165" s="36"/>
      <c r="W165" s="12"/>
      <c r="X165" s="12"/>
      <c r="Y165" s="14"/>
      <c r="AB165" s="12"/>
      <c r="AC165" s="12"/>
      <c r="AG165" s="12"/>
      <c r="AH165" s="12"/>
      <c r="AK165" s="12"/>
      <c r="AL165" s="13"/>
      <c r="AM165" s="14"/>
      <c r="CK165" s="65"/>
      <c r="CL165" s="13"/>
      <c r="CO165" s="65"/>
      <c r="CP165" s="13"/>
      <c r="CS165" s="65"/>
      <c r="CT165" s="13"/>
      <c r="CW165" s="65"/>
      <c r="CX165" s="13"/>
      <c r="DA165" s="65"/>
      <c r="DB165" s="13"/>
      <c r="DE165" s="65"/>
      <c r="DF165" s="13"/>
      <c r="DI165" s="65"/>
      <c r="DJ165" s="13"/>
      <c r="DM165" s="65"/>
      <c r="DN165" s="13"/>
      <c r="DQ165" s="65"/>
      <c r="DR165" s="13"/>
      <c r="DU165" s="65"/>
      <c r="DV165" s="13"/>
      <c r="DY165" s="65"/>
      <c r="DZ165" s="13"/>
      <c r="EA165" s="14"/>
      <c r="EC165" s="65"/>
      <c r="ED165" s="13"/>
      <c r="EE165" s="14"/>
      <c r="EG165" s="65"/>
      <c r="EH165" s="13"/>
      <c r="EI165" s="14"/>
      <c r="EK165" s="65"/>
      <c r="EL165" s="13"/>
      <c r="EM165" s="14"/>
      <c r="EO165" s="65"/>
      <c r="EP165" s="13"/>
      <c r="EQ165" s="14"/>
      <c r="ES165" s="65"/>
      <c r="ET165" s="13"/>
      <c r="EU165" s="14"/>
      <c r="EW165" s="65"/>
      <c r="EX165" s="13"/>
      <c r="EY165" s="14"/>
      <c r="FA165" s="65"/>
      <c r="FB165" s="13"/>
      <c r="FC165" s="14"/>
      <c r="FE165" s="65"/>
      <c r="FF165" s="13"/>
      <c r="FG165" s="14"/>
      <c r="FI165" s="65"/>
      <c r="FJ165" s="13"/>
      <c r="FK165" s="14"/>
      <c r="FM165" s="65"/>
      <c r="FN165" s="13"/>
      <c r="FO165" s="14"/>
      <c r="FQ165" s="65"/>
      <c r="FR165" s="13"/>
      <c r="FS165" s="14"/>
      <c r="FU165" s="65"/>
      <c r="FV165" s="13"/>
      <c r="FW165" s="14"/>
      <c r="FY165" s="65"/>
      <c r="FZ165" s="13"/>
      <c r="GA165" s="14"/>
      <c r="GC165" s="65"/>
      <c r="GD165" s="13"/>
      <c r="GE165" s="14"/>
      <c r="GG165" s="65"/>
      <c r="GH165" s="13"/>
      <c r="GI165" s="14"/>
      <c r="GK165" s="65"/>
      <c r="GL165" s="13"/>
      <c r="GM165" s="14"/>
      <c r="GO165" s="65"/>
      <c r="GP165" s="13"/>
      <c r="GQ165" s="14"/>
      <c r="GS165" s="65"/>
      <c r="GT165" s="13"/>
      <c r="GU165" s="14"/>
      <c r="GW165" s="65"/>
      <c r="GX165" s="13"/>
      <c r="GY165" s="14"/>
      <c r="HA165" s="65"/>
      <c r="HB165" s="13"/>
      <c r="HC165" s="14"/>
      <c r="HE165" s="65"/>
      <c r="HF165" s="13"/>
      <c r="HG165" s="14"/>
      <c r="HI165" s="65"/>
      <c r="HJ165" s="13"/>
      <c r="HK165" s="14"/>
      <c r="HM165" s="65"/>
      <c r="HN165" s="13"/>
      <c r="HO165" s="14"/>
      <c r="HQ165" s="65"/>
      <c r="HR165" s="13"/>
      <c r="HS165" s="14"/>
      <c r="HU165" s="65"/>
      <c r="HV165" s="13"/>
      <c r="HW165" s="14"/>
      <c r="HY165" s="65"/>
      <c r="HZ165" s="13"/>
      <c r="IA165" s="14"/>
      <c r="IC165" s="65"/>
      <c r="ID165" s="13"/>
      <c r="IE165" s="14"/>
      <c r="IG165" s="65"/>
      <c r="IH165" s="13"/>
      <c r="II165" s="14"/>
      <c r="IK165" s="65"/>
      <c r="IL165" s="13"/>
      <c r="IM165" s="14"/>
      <c r="IO165" s="65"/>
      <c r="IP165" s="13"/>
      <c r="IQ165" s="14"/>
      <c r="IS165" s="65"/>
      <c r="IT165" s="13"/>
      <c r="IU165" s="14"/>
      <c r="IW165" s="65"/>
      <c r="IX165" s="13"/>
      <c r="IY165" s="14"/>
      <c r="JA165" s="65"/>
      <c r="JB165" s="13"/>
      <c r="JC165" s="14"/>
      <c r="JE165" s="65"/>
      <c r="JF165" s="13"/>
      <c r="JG165" s="14"/>
      <c r="JI165" s="65"/>
      <c r="JJ165" s="13"/>
      <c r="JK165" s="14"/>
      <c r="JM165" s="65"/>
      <c r="JN165" s="13"/>
      <c r="JO165" s="14"/>
      <c r="JQ165" s="65"/>
      <c r="JR165" s="13"/>
      <c r="JS165" s="14"/>
      <c r="JU165" s="65"/>
      <c r="JV165" s="13"/>
      <c r="JW165" s="14"/>
      <c r="JY165" s="65"/>
      <c r="JZ165" s="13"/>
      <c r="KA165" s="14"/>
      <c r="KC165" s="65"/>
      <c r="KD165" s="13"/>
      <c r="KE165" s="14"/>
      <c r="KG165" s="65"/>
      <c r="KH165" s="13"/>
      <c r="KI165" s="14"/>
      <c r="KK165" s="65"/>
      <c r="KL165" s="13"/>
      <c r="KM165" s="14"/>
      <c r="KO165" s="65"/>
      <c r="KP165" s="13"/>
      <c r="KQ165" s="14"/>
      <c r="KS165" s="65"/>
      <c r="KT165" s="13"/>
      <c r="KU165" s="14"/>
      <c r="KW165" s="65"/>
      <c r="KX165" s="13"/>
      <c r="KY165" s="14"/>
      <c r="LA165" s="65"/>
      <c r="LB165" s="13"/>
      <c r="LC165" s="14"/>
      <c r="LE165" s="65"/>
      <c r="LF165" s="13"/>
      <c r="LG165" s="14"/>
      <c r="LI165" s="65"/>
      <c r="LJ165" s="13"/>
      <c r="LK165" s="14"/>
      <c r="LM165" s="65"/>
      <c r="LN165" s="13"/>
      <c r="LO165" s="14"/>
      <c r="LQ165" s="65"/>
      <c r="LR165" s="13"/>
      <c r="LS165" s="14"/>
      <c r="LU165" s="65"/>
      <c r="LV165" s="13"/>
      <c r="LW165" s="14"/>
      <c r="LY165" s="65"/>
      <c r="LZ165" s="13"/>
      <c r="MA165" s="14"/>
      <c r="MC165" s="65"/>
      <c r="MD165" s="13"/>
      <c r="ME165" s="14"/>
      <c r="MG165" s="65"/>
      <c r="MH165" s="13"/>
      <c r="MI165" s="14"/>
      <c r="MK165" s="65"/>
      <c r="ML165" s="13"/>
      <c r="MM165" s="14"/>
      <c r="MO165" s="65"/>
      <c r="MP165" s="13"/>
      <c r="MQ165" s="14"/>
      <c r="MS165" s="65"/>
      <c r="MT165" s="13"/>
      <c r="MU165" s="14"/>
    </row>
    <row r="166" spans="1:359" hidden="1" x14ac:dyDescent="0.25">
      <c r="A166" s="15">
        <f t="shared" si="192"/>
        <v>0</v>
      </c>
      <c r="B166" s="20">
        <v>42860</v>
      </c>
      <c r="C166"/>
      <c r="D166" s="12">
        <v>10</v>
      </c>
      <c r="E166" s="12">
        <v>1143891.719401533</v>
      </c>
      <c r="F166" s="14">
        <v>42590</v>
      </c>
      <c r="I166" s="12"/>
      <c r="J166" s="12"/>
      <c r="N166" s="12"/>
      <c r="O166" s="12"/>
      <c r="T166" s="15"/>
      <c r="U166" s="20"/>
      <c r="V166" s="36"/>
      <c r="W166" s="12"/>
      <c r="X166" s="12"/>
      <c r="Y166" s="14"/>
      <c r="AB166" s="12"/>
      <c r="AC166" s="12"/>
      <c r="AG166" s="12"/>
      <c r="AH166" s="12"/>
      <c r="AK166" s="12"/>
      <c r="AL166" s="13"/>
      <c r="AM166" s="14"/>
      <c r="CK166" s="65"/>
      <c r="CL166" s="13"/>
      <c r="CO166" s="65"/>
      <c r="CP166" s="13"/>
      <c r="CS166" s="65"/>
      <c r="CT166" s="13"/>
      <c r="CW166" s="65"/>
      <c r="CX166" s="13"/>
      <c r="DA166" s="65"/>
      <c r="DB166" s="13"/>
      <c r="DE166" s="65"/>
      <c r="DF166" s="13"/>
      <c r="DI166" s="65"/>
      <c r="DJ166" s="13"/>
      <c r="DM166" s="65"/>
      <c r="DN166" s="13"/>
      <c r="DQ166" s="65"/>
      <c r="DR166" s="13"/>
      <c r="DU166" s="65"/>
      <c r="DV166" s="13"/>
      <c r="DY166" s="65"/>
      <c r="DZ166" s="13"/>
      <c r="EA166" s="14"/>
      <c r="EC166" s="65"/>
      <c r="ED166" s="13"/>
      <c r="EE166" s="14"/>
      <c r="EG166" s="65"/>
      <c r="EH166" s="13"/>
      <c r="EI166" s="14"/>
      <c r="EK166" s="65"/>
      <c r="EL166" s="13"/>
      <c r="EM166" s="14"/>
      <c r="EO166" s="65"/>
      <c r="EP166" s="13"/>
      <c r="EQ166" s="14"/>
      <c r="ES166" s="65"/>
      <c r="ET166" s="13"/>
      <c r="EU166" s="14"/>
      <c r="EW166" s="65"/>
      <c r="EX166" s="13"/>
      <c r="EY166" s="14"/>
      <c r="FA166" s="65"/>
      <c r="FB166" s="13"/>
      <c r="FC166" s="14"/>
      <c r="FE166" s="65"/>
      <c r="FF166" s="13"/>
      <c r="FG166" s="14"/>
      <c r="FI166" s="65"/>
      <c r="FJ166" s="13"/>
      <c r="FK166" s="14"/>
      <c r="FM166" s="65"/>
      <c r="FN166" s="13"/>
      <c r="FO166" s="14"/>
      <c r="FQ166" s="65"/>
      <c r="FR166" s="13"/>
      <c r="FS166" s="14"/>
      <c r="FU166" s="65"/>
      <c r="FV166" s="13"/>
      <c r="FW166" s="14"/>
      <c r="FY166" s="65"/>
      <c r="FZ166" s="13"/>
      <c r="GA166" s="14"/>
      <c r="GC166" s="65"/>
      <c r="GD166" s="13"/>
      <c r="GE166" s="14"/>
      <c r="GG166" s="65"/>
      <c r="GH166" s="13"/>
      <c r="GI166" s="14"/>
      <c r="GK166" s="65"/>
      <c r="GL166" s="13"/>
      <c r="GM166" s="14"/>
      <c r="GO166" s="65"/>
      <c r="GP166" s="13"/>
      <c r="GQ166" s="14"/>
      <c r="GS166" s="65"/>
      <c r="GT166" s="13"/>
      <c r="GU166" s="14"/>
      <c r="GW166" s="65"/>
      <c r="GX166" s="13"/>
      <c r="GY166" s="14"/>
      <c r="HA166" s="65"/>
      <c r="HB166" s="13"/>
      <c r="HC166" s="14"/>
      <c r="HE166" s="65"/>
      <c r="HF166" s="13"/>
      <c r="HG166" s="14"/>
      <c r="HI166" s="65"/>
      <c r="HJ166" s="13"/>
      <c r="HK166" s="14"/>
      <c r="HM166" s="65"/>
      <c r="HN166" s="13"/>
      <c r="HO166" s="14"/>
      <c r="HQ166" s="65"/>
      <c r="HR166" s="13"/>
      <c r="HS166" s="14"/>
      <c r="HU166" s="65"/>
      <c r="HV166" s="13"/>
      <c r="HW166" s="14"/>
      <c r="HY166" s="65"/>
      <c r="HZ166" s="13"/>
      <c r="IA166" s="14"/>
      <c r="IC166" s="65"/>
      <c r="ID166" s="13"/>
      <c r="IE166" s="14"/>
      <c r="IG166" s="65"/>
      <c r="IH166" s="13"/>
      <c r="II166" s="14"/>
      <c r="IK166" s="65"/>
      <c r="IL166" s="13"/>
      <c r="IM166" s="14"/>
      <c r="IO166" s="65"/>
      <c r="IP166" s="13"/>
      <c r="IQ166" s="14"/>
      <c r="IS166" s="65"/>
      <c r="IT166" s="13"/>
      <c r="IU166" s="14"/>
      <c r="IW166" s="65"/>
      <c r="IX166" s="13"/>
      <c r="IY166" s="14"/>
      <c r="JA166" s="65"/>
      <c r="JB166" s="13"/>
      <c r="JC166" s="14"/>
      <c r="JE166" s="65"/>
      <c r="JF166" s="13"/>
      <c r="JG166" s="14"/>
      <c r="JI166" s="65"/>
      <c r="JJ166" s="13"/>
      <c r="JK166" s="14"/>
      <c r="JM166" s="65"/>
      <c r="JN166" s="13"/>
      <c r="JO166" s="14"/>
      <c r="JQ166" s="65"/>
      <c r="JR166" s="13"/>
      <c r="JS166" s="14"/>
      <c r="JU166" s="65"/>
      <c r="JV166" s="13"/>
      <c r="JW166" s="14"/>
      <c r="JY166" s="65"/>
      <c r="JZ166" s="13"/>
      <c r="KA166" s="14"/>
      <c r="KC166" s="65"/>
      <c r="KD166" s="13"/>
      <c r="KE166" s="14"/>
      <c r="KG166" s="65"/>
      <c r="KH166" s="13"/>
      <c r="KI166" s="14"/>
      <c r="KK166" s="65"/>
      <c r="KL166" s="13"/>
      <c r="KM166" s="14"/>
      <c r="KO166" s="65"/>
      <c r="KP166" s="13"/>
      <c r="KQ166" s="14"/>
      <c r="KS166" s="65"/>
      <c r="KT166" s="13"/>
      <c r="KU166" s="14"/>
      <c r="KW166" s="65"/>
      <c r="KX166" s="13"/>
      <c r="KY166" s="14"/>
      <c r="LA166" s="65"/>
      <c r="LB166" s="13"/>
      <c r="LC166" s="14"/>
      <c r="LE166" s="65"/>
      <c r="LF166" s="13"/>
      <c r="LG166" s="14"/>
      <c r="LI166" s="65"/>
      <c r="LJ166" s="13"/>
      <c r="LK166" s="14"/>
      <c r="LM166" s="65"/>
      <c r="LN166" s="13"/>
      <c r="LO166" s="14"/>
      <c r="LQ166" s="65"/>
      <c r="LR166" s="13"/>
      <c r="LS166" s="14"/>
      <c r="LU166" s="65"/>
      <c r="LV166" s="13"/>
      <c r="LW166" s="14"/>
      <c r="LY166" s="65"/>
      <c r="LZ166" s="13"/>
      <c r="MA166" s="14"/>
      <c r="MC166" s="65"/>
      <c r="MD166" s="13"/>
      <c r="ME166" s="14"/>
      <c r="MG166" s="65"/>
      <c r="MH166" s="13"/>
      <c r="MI166" s="14"/>
      <c r="MK166" s="65"/>
      <c r="ML166" s="13"/>
      <c r="MM166" s="14"/>
      <c r="MO166" s="65"/>
      <c r="MP166" s="13"/>
      <c r="MQ166" s="14"/>
      <c r="MS166" s="65"/>
      <c r="MT166" s="13"/>
      <c r="MU166" s="14"/>
    </row>
    <row r="167" spans="1:359" hidden="1" x14ac:dyDescent="0.25">
      <c r="A167" s="15">
        <f t="shared" si="192"/>
        <v>0</v>
      </c>
      <c r="B167" s="20">
        <v>42861</v>
      </c>
      <c r="C167"/>
      <c r="D167" s="12">
        <v>9</v>
      </c>
      <c r="E167" s="12">
        <v>1143919.0175970446</v>
      </c>
      <c r="F167" s="14">
        <v>42591</v>
      </c>
      <c r="I167" s="12"/>
      <c r="J167" s="12"/>
      <c r="N167" s="12"/>
      <c r="O167" s="12"/>
      <c r="T167" s="15"/>
      <c r="U167" s="20"/>
      <c r="V167" s="36"/>
      <c r="W167" s="12"/>
      <c r="X167" s="12"/>
      <c r="Y167" s="14"/>
      <c r="AB167" s="12"/>
      <c r="AC167" s="12"/>
      <c r="AG167" s="12"/>
      <c r="AH167" s="12"/>
      <c r="AK167" s="12"/>
      <c r="AL167" s="13"/>
      <c r="AM167" s="14"/>
      <c r="CK167" s="65"/>
      <c r="CL167" s="13"/>
      <c r="CO167" s="65"/>
      <c r="CP167" s="13"/>
      <c r="CS167" s="65"/>
      <c r="CT167" s="13"/>
      <c r="CW167" s="65"/>
      <c r="CX167" s="13"/>
      <c r="DA167" s="65"/>
      <c r="DB167" s="13"/>
      <c r="DE167" s="65"/>
      <c r="DF167" s="13"/>
      <c r="DI167" s="65"/>
      <c r="DJ167" s="13"/>
      <c r="DM167" s="65"/>
      <c r="DN167" s="13"/>
      <c r="DQ167" s="65"/>
      <c r="DR167" s="13"/>
      <c r="DU167" s="65"/>
      <c r="DV167" s="13"/>
      <c r="DY167" s="65"/>
      <c r="DZ167" s="13"/>
      <c r="EA167" s="14"/>
      <c r="EC167" s="65"/>
      <c r="ED167" s="13"/>
      <c r="EE167" s="14"/>
      <c r="EG167" s="65"/>
      <c r="EH167" s="13"/>
      <c r="EI167" s="14"/>
      <c r="EK167" s="65"/>
      <c r="EL167" s="13"/>
      <c r="EM167" s="14"/>
      <c r="EO167" s="65"/>
      <c r="EP167" s="13"/>
      <c r="EQ167" s="14"/>
      <c r="ES167" s="65"/>
      <c r="ET167" s="13"/>
      <c r="EU167" s="14"/>
      <c r="EW167" s="65"/>
      <c r="EX167" s="13"/>
      <c r="EY167" s="14"/>
      <c r="FA167" s="65"/>
      <c r="FB167" s="13"/>
      <c r="FC167" s="14"/>
      <c r="FE167" s="65"/>
      <c r="FF167" s="13"/>
      <c r="FG167" s="14"/>
      <c r="FI167" s="65"/>
      <c r="FJ167" s="13"/>
      <c r="FK167" s="14"/>
      <c r="FM167" s="65"/>
      <c r="FN167" s="13"/>
      <c r="FO167" s="14"/>
      <c r="FQ167" s="65"/>
      <c r="FR167" s="13"/>
      <c r="FS167" s="14"/>
      <c r="FU167" s="65"/>
      <c r="FV167" s="13"/>
      <c r="FW167" s="14"/>
      <c r="FY167" s="65"/>
      <c r="FZ167" s="13"/>
      <c r="GA167" s="14"/>
      <c r="GC167" s="65"/>
      <c r="GD167" s="13"/>
      <c r="GE167" s="14"/>
      <c r="GG167" s="65"/>
      <c r="GH167" s="13"/>
      <c r="GI167" s="14"/>
      <c r="GK167" s="65"/>
      <c r="GL167" s="13"/>
      <c r="GM167" s="14"/>
      <c r="GO167" s="65"/>
      <c r="GP167" s="13"/>
      <c r="GQ167" s="14"/>
      <c r="GS167" s="65"/>
      <c r="GT167" s="13"/>
      <c r="GU167" s="14"/>
      <c r="GW167" s="65"/>
      <c r="GX167" s="13"/>
      <c r="GY167" s="14"/>
      <c r="HA167" s="65"/>
      <c r="HB167" s="13"/>
      <c r="HC167" s="14"/>
      <c r="HE167" s="65"/>
      <c r="HF167" s="13"/>
      <c r="HG167" s="14"/>
      <c r="HI167" s="65"/>
      <c r="HJ167" s="13"/>
      <c r="HK167" s="14"/>
      <c r="HM167" s="65"/>
      <c r="HN167" s="13"/>
      <c r="HO167" s="14"/>
      <c r="HQ167" s="65"/>
      <c r="HR167" s="13"/>
      <c r="HS167" s="14"/>
      <c r="HU167" s="65"/>
      <c r="HV167" s="13"/>
      <c r="HW167" s="14"/>
      <c r="HY167" s="65"/>
      <c r="HZ167" s="13"/>
      <c r="IA167" s="14"/>
      <c r="IC167" s="65"/>
      <c r="ID167" s="13"/>
      <c r="IE167" s="14"/>
      <c r="IG167" s="65"/>
      <c r="IH167" s="13"/>
      <c r="II167" s="14"/>
      <c r="IK167" s="65"/>
      <c r="IL167" s="13"/>
      <c r="IM167" s="14"/>
      <c r="IO167" s="65"/>
      <c r="IP167" s="13"/>
      <c r="IQ167" s="14"/>
      <c r="IS167" s="65"/>
      <c r="IT167" s="13"/>
      <c r="IU167" s="14"/>
      <c r="IW167" s="65"/>
      <c r="IX167" s="13"/>
      <c r="IY167" s="14"/>
      <c r="JA167" s="65"/>
      <c r="JB167" s="13"/>
      <c r="JC167" s="14"/>
      <c r="JE167" s="65"/>
      <c r="JF167" s="13"/>
      <c r="JG167" s="14"/>
      <c r="JI167" s="65"/>
      <c r="JJ167" s="13"/>
      <c r="JK167" s="14"/>
      <c r="JM167" s="65"/>
      <c r="JN167" s="13"/>
      <c r="JO167" s="14"/>
      <c r="JQ167" s="65"/>
      <c r="JR167" s="13"/>
      <c r="JS167" s="14"/>
      <c r="JU167" s="65"/>
      <c r="JV167" s="13"/>
      <c r="JW167" s="14"/>
      <c r="JY167" s="65"/>
      <c r="JZ167" s="13"/>
      <c r="KA167" s="14"/>
      <c r="KC167" s="65"/>
      <c r="KD167" s="13"/>
      <c r="KE167" s="14"/>
      <c r="KG167" s="65"/>
      <c r="KH167" s="13"/>
      <c r="KI167" s="14"/>
      <c r="KK167" s="65"/>
      <c r="KL167" s="13"/>
      <c r="KM167" s="14"/>
      <c r="KO167" s="65"/>
      <c r="KP167" s="13"/>
      <c r="KQ167" s="14"/>
      <c r="KS167" s="65"/>
      <c r="KT167" s="13"/>
      <c r="KU167" s="14"/>
      <c r="KW167" s="65"/>
      <c r="KX167" s="13"/>
      <c r="KY167" s="14"/>
      <c r="LA167" s="65"/>
      <c r="LB167" s="13"/>
      <c r="LC167" s="14"/>
      <c r="LE167" s="65"/>
      <c r="LF167" s="13"/>
      <c r="LG167" s="14"/>
      <c r="LI167" s="65"/>
      <c r="LJ167" s="13"/>
      <c r="LK167" s="14"/>
      <c r="LM167" s="65"/>
      <c r="LN167" s="13"/>
      <c r="LO167" s="14"/>
      <c r="LQ167" s="65"/>
      <c r="LR167" s="13"/>
      <c r="LS167" s="14"/>
      <c r="LU167" s="65"/>
      <c r="LV167" s="13"/>
      <c r="LW167" s="14"/>
      <c r="LY167" s="65"/>
      <c r="LZ167" s="13"/>
      <c r="MA167" s="14"/>
      <c r="MC167" s="65"/>
      <c r="MD167" s="13"/>
      <c r="ME167" s="14"/>
      <c r="MG167" s="65"/>
      <c r="MH167" s="13"/>
      <c r="MI167" s="14"/>
      <c r="MK167" s="65"/>
      <c r="ML167" s="13"/>
      <c r="MM167" s="14"/>
      <c r="MO167" s="65"/>
      <c r="MP167" s="13"/>
      <c r="MQ167" s="14"/>
      <c r="MS167" s="65"/>
      <c r="MT167" s="13"/>
      <c r="MU167" s="14"/>
    </row>
    <row r="168" spans="1:359" hidden="1" x14ac:dyDescent="0.25">
      <c r="A168" s="15">
        <f t="shared" si="192"/>
        <v>0</v>
      </c>
      <c r="B168" s="20">
        <v>42862</v>
      </c>
      <c r="C168"/>
      <c r="D168" s="12">
        <v>8</v>
      </c>
      <c r="E168" s="12">
        <v>1143946.3170954934</v>
      </c>
      <c r="F168" s="14">
        <v>42592</v>
      </c>
      <c r="I168" s="12"/>
      <c r="J168" s="12"/>
      <c r="N168" s="12"/>
      <c r="O168" s="12"/>
      <c r="T168" s="15"/>
      <c r="U168" s="20"/>
      <c r="V168" s="36"/>
      <c r="W168" s="12"/>
      <c r="X168" s="12"/>
      <c r="Y168" s="14"/>
      <c r="AB168" s="12"/>
      <c r="AC168" s="12"/>
      <c r="AG168" s="12"/>
      <c r="AH168" s="12"/>
      <c r="AK168" s="12"/>
      <c r="AL168" s="13"/>
      <c r="AM168" s="14"/>
      <c r="CK168" s="65"/>
      <c r="CL168" s="13"/>
      <c r="CO168" s="65"/>
      <c r="CP168" s="13"/>
      <c r="CS168" s="65"/>
      <c r="CT168" s="13"/>
      <c r="CW168" s="65"/>
      <c r="CX168" s="13"/>
      <c r="DA168" s="65"/>
      <c r="DB168" s="13"/>
      <c r="DE168" s="65"/>
      <c r="DF168" s="13"/>
      <c r="DI168" s="65"/>
      <c r="DJ168" s="13"/>
      <c r="DM168" s="65"/>
      <c r="DN168" s="13"/>
      <c r="DQ168" s="65"/>
      <c r="DR168" s="13"/>
      <c r="DU168" s="65"/>
      <c r="DV168" s="13"/>
      <c r="DY168" s="65"/>
      <c r="DZ168" s="13"/>
      <c r="EA168" s="14"/>
      <c r="EC168" s="65"/>
      <c r="ED168" s="13"/>
      <c r="EE168" s="14"/>
      <c r="EG168" s="65"/>
      <c r="EH168" s="13"/>
      <c r="EI168" s="14"/>
      <c r="EK168" s="65"/>
      <c r="EL168" s="13"/>
      <c r="EM168" s="14"/>
      <c r="EO168" s="65"/>
      <c r="EP168" s="13"/>
      <c r="EQ168" s="14"/>
      <c r="ES168" s="65"/>
      <c r="ET168" s="13"/>
      <c r="EU168" s="14"/>
      <c r="EW168" s="65"/>
      <c r="EX168" s="13"/>
      <c r="EY168" s="14"/>
      <c r="FA168" s="65"/>
      <c r="FB168" s="13"/>
      <c r="FC168" s="14"/>
      <c r="FE168" s="65"/>
      <c r="FF168" s="13"/>
      <c r="FG168" s="14"/>
      <c r="FI168" s="65"/>
      <c r="FJ168" s="13"/>
      <c r="FK168" s="14"/>
      <c r="FM168" s="65"/>
      <c r="FN168" s="13"/>
      <c r="FO168" s="14"/>
      <c r="FQ168" s="65"/>
      <c r="FR168" s="13"/>
      <c r="FS168" s="14"/>
      <c r="FU168" s="65"/>
      <c r="FV168" s="13"/>
      <c r="FW168" s="14"/>
      <c r="FY168" s="65"/>
      <c r="FZ168" s="13"/>
      <c r="GA168" s="14"/>
      <c r="GC168" s="65"/>
      <c r="GD168" s="13"/>
      <c r="GE168" s="14"/>
      <c r="GG168" s="65"/>
      <c r="GH168" s="13"/>
      <c r="GI168" s="14"/>
      <c r="GK168" s="65"/>
      <c r="GL168" s="13"/>
      <c r="GM168" s="14"/>
      <c r="GO168" s="65"/>
      <c r="GP168" s="13"/>
      <c r="GQ168" s="14"/>
      <c r="GS168" s="65"/>
      <c r="GT168" s="13"/>
      <c r="GU168" s="14"/>
      <c r="GW168" s="65"/>
      <c r="GX168" s="13"/>
      <c r="GY168" s="14"/>
      <c r="HA168" s="65"/>
      <c r="HB168" s="13"/>
      <c r="HC168" s="14"/>
      <c r="HE168" s="65"/>
      <c r="HF168" s="13"/>
      <c r="HG168" s="14"/>
      <c r="HI168" s="65"/>
      <c r="HJ168" s="13"/>
      <c r="HK168" s="14"/>
      <c r="HM168" s="65"/>
      <c r="HN168" s="13"/>
      <c r="HO168" s="14"/>
      <c r="HQ168" s="65"/>
      <c r="HR168" s="13"/>
      <c r="HS168" s="14"/>
      <c r="HU168" s="65"/>
      <c r="HV168" s="13"/>
      <c r="HW168" s="14"/>
      <c r="HY168" s="65"/>
      <c r="HZ168" s="13"/>
      <c r="IA168" s="14"/>
      <c r="IC168" s="65"/>
      <c r="ID168" s="13"/>
      <c r="IE168" s="14"/>
      <c r="IG168" s="65"/>
      <c r="IH168" s="13"/>
      <c r="II168" s="14"/>
      <c r="IK168" s="65"/>
      <c r="IL168" s="13"/>
      <c r="IM168" s="14"/>
      <c r="IO168" s="65"/>
      <c r="IP168" s="13"/>
      <c r="IQ168" s="14"/>
      <c r="IS168" s="65"/>
      <c r="IT168" s="13"/>
      <c r="IU168" s="14"/>
      <c r="IW168" s="65"/>
      <c r="IX168" s="13"/>
      <c r="IY168" s="14"/>
      <c r="JA168" s="65"/>
      <c r="JB168" s="13"/>
      <c r="JC168" s="14"/>
      <c r="JE168" s="65"/>
      <c r="JF168" s="13"/>
      <c r="JG168" s="14"/>
      <c r="JI168" s="65"/>
      <c r="JJ168" s="13"/>
      <c r="JK168" s="14"/>
      <c r="JM168" s="65"/>
      <c r="JN168" s="13"/>
      <c r="JO168" s="14"/>
      <c r="JQ168" s="65"/>
      <c r="JR168" s="13"/>
      <c r="JS168" s="14"/>
      <c r="JU168" s="65"/>
      <c r="JV168" s="13"/>
      <c r="JW168" s="14"/>
      <c r="JY168" s="65"/>
      <c r="JZ168" s="13"/>
      <c r="KA168" s="14"/>
      <c r="KC168" s="65"/>
      <c r="KD168" s="13"/>
      <c r="KE168" s="14"/>
      <c r="KG168" s="65"/>
      <c r="KH168" s="13"/>
      <c r="KI168" s="14"/>
      <c r="KK168" s="65"/>
      <c r="KL168" s="13"/>
      <c r="KM168" s="14"/>
      <c r="KO168" s="65"/>
      <c r="KP168" s="13"/>
      <c r="KQ168" s="14"/>
      <c r="KS168" s="65"/>
      <c r="KT168" s="13"/>
      <c r="KU168" s="14"/>
      <c r="KW168" s="65"/>
      <c r="KX168" s="13"/>
      <c r="KY168" s="14"/>
      <c r="LA168" s="65"/>
      <c r="LB168" s="13"/>
      <c r="LC168" s="14"/>
      <c r="LE168" s="65"/>
      <c r="LF168" s="13"/>
      <c r="LG168" s="14"/>
      <c r="LI168" s="65"/>
      <c r="LJ168" s="13"/>
      <c r="LK168" s="14"/>
      <c r="LM168" s="65"/>
      <c r="LN168" s="13"/>
      <c r="LO168" s="14"/>
      <c r="LQ168" s="65"/>
      <c r="LR168" s="13"/>
      <c r="LS168" s="14"/>
      <c r="LU168" s="65"/>
      <c r="LV168" s="13"/>
      <c r="LW168" s="14"/>
      <c r="LY168" s="65"/>
      <c r="LZ168" s="13"/>
      <c r="MA168" s="14"/>
      <c r="MC168" s="65"/>
      <c r="MD168" s="13"/>
      <c r="ME168" s="14"/>
      <c r="MG168" s="65"/>
      <c r="MH168" s="13"/>
      <c r="MI168" s="14"/>
      <c r="MK168" s="65"/>
      <c r="ML168" s="13"/>
      <c r="MM168" s="14"/>
      <c r="MO168" s="65"/>
      <c r="MP168" s="13"/>
      <c r="MQ168" s="14"/>
      <c r="MS168" s="65"/>
      <c r="MT168" s="13"/>
      <c r="MU168" s="14"/>
    </row>
    <row r="169" spans="1:359" hidden="1" x14ac:dyDescent="0.25">
      <c r="A169" s="15">
        <f t="shared" si="192"/>
        <v>0</v>
      </c>
      <c r="B169" s="20">
        <v>42863</v>
      </c>
      <c r="C169"/>
      <c r="D169" s="12">
        <v>7</v>
      </c>
      <c r="E169" s="12">
        <v>1143973.6178969718</v>
      </c>
      <c r="F169" s="14">
        <v>42593</v>
      </c>
      <c r="I169" s="12"/>
      <c r="J169" s="12"/>
      <c r="N169" s="12"/>
      <c r="O169" s="12"/>
      <c r="T169" s="15"/>
      <c r="U169" s="20"/>
      <c r="V169" s="36"/>
      <c r="W169" s="12"/>
      <c r="X169" s="12"/>
      <c r="Y169" s="14"/>
      <c r="AB169" s="12"/>
      <c r="AC169" s="12"/>
      <c r="AG169" s="12"/>
      <c r="AH169" s="12"/>
      <c r="AK169" s="12"/>
      <c r="AL169" s="13"/>
      <c r="AM169" s="14"/>
      <c r="CK169" s="65"/>
      <c r="CL169" s="13"/>
      <c r="CO169" s="65"/>
      <c r="CP169" s="13"/>
      <c r="CS169" s="65"/>
      <c r="CT169" s="13"/>
      <c r="CW169" s="65"/>
      <c r="CX169" s="13"/>
      <c r="DA169" s="65"/>
      <c r="DB169" s="13"/>
      <c r="DE169" s="65"/>
      <c r="DF169" s="13"/>
      <c r="DI169" s="65"/>
      <c r="DJ169" s="13"/>
      <c r="DM169" s="65"/>
      <c r="DN169" s="13"/>
      <c r="DQ169" s="65"/>
      <c r="DR169" s="13"/>
      <c r="DU169" s="65"/>
      <c r="DV169" s="13"/>
      <c r="DY169" s="65"/>
      <c r="DZ169" s="13"/>
      <c r="EA169" s="14"/>
      <c r="EC169" s="65"/>
      <c r="ED169" s="13"/>
      <c r="EE169" s="14"/>
      <c r="EG169" s="65"/>
      <c r="EH169" s="13"/>
      <c r="EI169" s="14"/>
      <c r="EK169" s="65"/>
      <c r="EL169" s="13"/>
      <c r="EM169" s="14"/>
      <c r="EO169" s="65"/>
      <c r="EP169" s="13"/>
      <c r="EQ169" s="14"/>
      <c r="ES169" s="65"/>
      <c r="ET169" s="13"/>
      <c r="EU169" s="14"/>
      <c r="EW169" s="65"/>
      <c r="EX169" s="13"/>
      <c r="EY169" s="14"/>
      <c r="FA169" s="65"/>
      <c r="FB169" s="13"/>
      <c r="FC169" s="14"/>
      <c r="FE169" s="65"/>
      <c r="FF169" s="13"/>
      <c r="FG169" s="14"/>
      <c r="FI169" s="65"/>
      <c r="FJ169" s="13"/>
      <c r="FK169" s="14"/>
      <c r="FM169" s="65"/>
      <c r="FN169" s="13"/>
      <c r="FO169" s="14"/>
      <c r="FQ169" s="65"/>
      <c r="FR169" s="13"/>
      <c r="FS169" s="14"/>
      <c r="FU169" s="65"/>
      <c r="FV169" s="13"/>
      <c r="FW169" s="14"/>
      <c r="FY169" s="65"/>
      <c r="FZ169" s="13"/>
      <c r="GA169" s="14"/>
      <c r="GC169" s="65"/>
      <c r="GD169" s="13"/>
      <c r="GE169" s="14"/>
      <c r="GG169" s="65"/>
      <c r="GH169" s="13"/>
      <c r="GI169" s="14"/>
      <c r="GK169" s="65"/>
      <c r="GL169" s="13"/>
      <c r="GM169" s="14"/>
      <c r="GO169" s="65"/>
      <c r="GP169" s="13"/>
      <c r="GQ169" s="14"/>
      <c r="GS169" s="65"/>
      <c r="GT169" s="13"/>
      <c r="GU169" s="14"/>
      <c r="GW169" s="65"/>
      <c r="GX169" s="13"/>
      <c r="GY169" s="14"/>
      <c r="HA169" s="65"/>
      <c r="HB169" s="13"/>
      <c r="HC169" s="14"/>
      <c r="HE169" s="65"/>
      <c r="HF169" s="13"/>
      <c r="HG169" s="14"/>
      <c r="HI169" s="65"/>
      <c r="HJ169" s="13"/>
      <c r="HK169" s="14"/>
      <c r="HM169" s="65"/>
      <c r="HN169" s="13"/>
      <c r="HO169" s="14"/>
      <c r="HQ169" s="65"/>
      <c r="HR169" s="13"/>
      <c r="HS169" s="14"/>
      <c r="HU169" s="65"/>
      <c r="HV169" s="13"/>
      <c r="HW169" s="14"/>
      <c r="HY169" s="65"/>
      <c r="HZ169" s="13"/>
      <c r="IA169" s="14"/>
      <c r="IC169" s="65"/>
      <c r="ID169" s="13"/>
      <c r="IE169" s="14"/>
      <c r="IG169" s="65"/>
      <c r="IH169" s="13"/>
      <c r="II169" s="14"/>
      <c r="IK169" s="65"/>
      <c r="IL169" s="13"/>
      <c r="IM169" s="14"/>
      <c r="IO169" s="65"/>
      <c r="IP169" s="13"/>
      <c r="IQ169" s="14"/>
      <c r="IS169" s="65"/>
      <c r="IT169" s="13"/>
      <c r="IU169" s="14"/>
      <c r="IW169" s="65"/>
      <c r="IX169" s="13"/>
      <c r="IY169" s="14"/>
      <c r="JA169" s="65"/>
      <c r="JB169" s="13"/>
      <c r="JC169" s="14"/>
      <c r="JE169" s="65"/>
      <c r="JF169" s="13"/>
      <c r="JG169" s="14"/>
      <c r="JI169" s="65"/>
      <c r="JJ169" s="13"/>
      <c r="JK169" s="14"/>
      <c r="JM169" s="65"/>
      <c r="JN169" s="13"/>
      <c r="JO169" s="14"/>
      <c r="JQ169" s="65"/>
      <c r="JR169" s="13"/>
      <c r="JS169" s="14"/>
      <c r="JU169" s="65"/>
      <c r="JV169" s="13"/>
      <c r="JW169" s="14"/>
      <c r="JY169" s="65"/>
      <c r="JZ169" s="13"/>
      <c r="KA169" s="14"/>
      <c r="KC169" s="65"/>
      <c r="KD169" s="13"/>
      <c r="KE169" s="14"/>
      <c r="KG169" s="65"/>
      <c r="KH169" s="13"/>
      <c r="KI169" s="14"/>
      <c r="KK169" s="65"/>
      <c r="KL169" s="13"/>
      <c r="KM169" s="14"/>
      <c r="KO169" s="65"/>
      <c r="KP169" s="13"/>
      <c r="KQ169" s="14"/>
      <c r="KS169" s="65"/>
      <c r="KT169" s="13"/>
      <c r="KU169" s="14"/>
      <c r="KW169" s="65"/>
      <c r="KX169" s="13"/>
      <c r="KY169" s="14"/>
      <c r="LA169" s="65"/>
      <c r="LB169" s="13"/>
      <c r="LC169" s="14"/>
      <c r="LE169" s="65"/>
      <c r="LF169" s="13"/>
      <c r="LG169" s="14"/>
      <c r="LI169" s="65"/>
      <c r="LJ169" s="13"/>
      <c r="LK169" s="14"/>
      <c r="LM169" s="65"/>
      <c r="LN169" s="13"/>
      <c r="LO169" s="14"/>
      <c r="LQ169" s="65"/>
      <c r="LR169" s="13"/>
      <c r="LS169" s="14"/>
      <c r="LU169" s="65"/>
      <c r="LV169" s="13"/>
      <c r="LW169" s="14"/>
      <c r="LY169" s="65"/>
      <c r="LZ169" s="13"/>
      <c r="MA169" s="14"/>
      <c r="MC169" s="65"/>
      <c r="MD169" s="13"/>
      <c r="ME169" s="14"/>
      <c r="MG169" s="65"/>
      <c r="MH169" s="13"/>
      <c r="MI169" s="14"/>
      <c r="MK169" s="65"/>
      <c r="ML169" s="13"/>
      <c r="MM169" s="14"/>
      <c r="MO169" s="65"/>
      <c r="MP169" s="13"/>
      <c r="MQ169" s="14"/>
      <c r="MS169" s="65"/>
      <c r="MT169" s="13"/>
      <c r="MU169" s="14"/>
    </row>
    <row r="170" spans="1:359" hidden="1" x14ac:dyDescent="0.25">
      <c r="A170" s="15">
        <f t="shared" si="192"/>
        <v>0</v>
      </c>
      <c r="B170" s="20">
        <v>42864</v>
      </c>
      <c r="C170"/>
      <c r="D170" s="12">
        <v>6</v>
      </c>
      <c r="E170" s="12">
        <v>1144000.9200015739</v>
      </c>
      <c r="F170" s="14">
        <v>42594</v>
      </c>
      <c r="I170" s="12"/>
      <c r="J170" s="12"/>
      <c r="N170" s="12"/>
      <c r="O170" s="12"/>
      <c r="T170" s="15"/>
      <c r="U170" s="20"/>
      <c r="V170" s="36"/>
      <c r="W170" s="12"/>
      <c r="X170" s="12"/>
      <c r="Y170" s="14"/>
      <c r="AB170" s="12"/>
      <c r="AC170" s="12"/>
      <c r="AG170" s="12"/>
      <c r="AH170" s="12"/>
      <c r="AK170" s="12"/>
      <c r="AL170" s="13"/>
      <c r="AM170" s="14"/>
      <c r="CK170" s="65"/>
      <c r="CL170" s="13"/>
      <c r="CO170" s="65"/>
      <c r="CP170" s="13"/>
      <c r="CS170" s="65"/>
      <c r="CT170" s="13"/>
      <c r="CW170" s="65"/>
      <c r="CX170" s="13"/>
      <c r="DA170" s="65"/>
      <c r="DB170" s="13"/>
      <c r="DE170" s="65"/>
      <c r="DF170" s="13"/>
      <c r="DI170" s="65"/>
      <c r="DJ170" s="13"/>
      <c r="DM170" s="65"/>
      <c r="DN170" s="13"/>
      <c r="DQ170" s="65"/>
      <c r="DR170" s="13"/>
      <c r="DU170" s="65"/>
      <c r="DV170" s="13"/>
      <c r="DY170" s="65"/>
      <c r="DZ170" s="13"/>
      <c r="EA170" s="14"/>
      <c r="EC170" s="65"/>
      <c r="ED170" s="13"/>
      <c r="EE170" s="14"/>
      <c r="EG170" s="65"/>
      <c r="EH170" s="13"/>
      <c r="EI170" s="14"/>
      <c r="EK170" s="65"/>
      <c r="EL170" s="13"/>
      <c r="EM170" s="14"/>
      <c r="EO170" s="65"/>
      <c r="EP170" s="13"/>
      <c r="EQ170" s="14"/>
      <c r="ES170" s="65"/>
      <c r="ET170" s="13"/>
      <c r="EU170" s="14"/>
      <c r="EW170" s="65"/>
      <c r="EX170" s="13"/>
      <c r="EY170" s="14"/>
      <c r="FA170" s="65"/>
      <c r="FB170" s="13"/>
      <c r="FC170" s="14"/>
      <c r="FE170" s="65"/>
      <c r="FF170" s="13"/>
      <c r="FG170" s="14"/>
      <c r="FI170" s="65"/>
      <c r="FJ170" s="13"/>
      <c r="FK170" s="14"/>
      <c r="FM170" s="65"/>
      <c r="FN170" s="13"/>
      <c r="FO170" s="14"/>
      <c r="FQ170" s="65"/>
      <c r="FR170" s="13"/>
      <c r="FS170" s="14"/>
      <c r="FU170" s="65"/>
      <c r="FV170" s="13"/>
      <c r="FW170" s="14"/>
      <c r="FY170" s="65"/>
      <c r="FZ170" s="13"/>
      <c r="GA170" s="14"/>
      <c r="GC170" s="65"/>
      <c r="GD170" s="13"/>
      <c r="GE170" s="14"/>
      <c r="GG170" s="65"/>
      <c r="GH170" s="13"/>
      <c r="GI170" s="14"/>
      <c r="GK170" s="65"/>
      <c r="GL170" s="13"/>
      <c r="GM170" s="14"/>
      <c r="GO170" s="65"/>
      <c r="GP170" s="13"/>
      <c r="GQ170" s="14"/>
      <c r="GS170" s="65"/>
      <c r="GT170" s="13"/>
      <c r="GU170" s="14"/>
      <c r="GW170" s="65"/>
      <c r="GX170" s="13"/>
      <c r="GY170" s="14"/>
      <c r="HA170" s="65"/>
      <c r="HB170" s="13"/>
      <c r="HC170" s="14"/>
      <c r="HE170" s="65"/>
      <c r="HF170" s="13"/>
      <c r="HG170" s="14"/>
      <c r="HI170" s="65"/>
      <c r="HJ170" s="13"/>
      <c r="HK170" s="14"/>
      <c r="HM170" s="65"/>
      <c r="HN170" s="13"/>
      <c r="HO170" s="14"/>
      <c r="HQ170" s="65"/>
      <c r="HR170" s="13"/>
      <c r="HS170" s="14"/>
      <c r="HU170" s="65"/>
      <c r="HV170" s="13"/>
      <c r="HW170" s="14"/>
      <c r="HY170" s="65"/>
      <c r="HZ170" s="13"/>
      <c r="IA170" s="14"/>
      <c r="IC170" s="65"/>
      <c r="ID170" s="13"/>
      <c r="IE170" s="14"/>
      <c r="IG170" s="65"/>
      <c r="IH170" s="13"/>
      <c r="II170" s="14"/>
      <c r="IK170" s="65"/>
      <c r="IL170" s="13"/>
      <c r="IM170" s="14"/>
      <c r="IO170" s="65"/>
      <c r="IP170" s="13"/>
      <c r="IQ170" s="14"/>
      <c r="IS170" s="65"/>
      <c r="IT170" s="13"/>
      <c r="IU170" s="14"/>
      <c r="IW170" s="65"/>
      <c r="IX170" s="13"/>
      <c r="IY170" s="14"/>
      <c r="JA170" s="65"/>
      <c r="JB170" s="13"/>
      <c r="JC170" s="14"/>
      <c r="JE170" s="65"/>
      <c r="JF170" s="13"/>
      <c r="JG170" s="14"/>
      <c r="JI170" s="65"/>
      <c r="JJ170" s="13"/>
      <c r="JK170" s="14"/>
      <c r="JM170" s="65"/>
      <c r="JN170" s="13"/>
      <c r="JO170" s="14"/>
      <c r="JQ170" s="65"/>
      <c r="JR170" s="13"/>
      <c r="JS170" s="14"/>
      <c r="JU170" s="65"/>
      <c r="JV170" s="13"/>
      <c r="JW170" s="14"/>
      <c r="JY170" s="65"/>
      <c r="JZ170" s="13"/>
      <c r="KA170" s="14"/>
      <c r="KC170" s="65"/>
      <c r="KD170" s="13"/>
      <c r="KE170" s="14"/>
      <c r="KG170" s="65"/>
      <c r="KH170" s="13"/>
      <c r="KI170" s="14"/>
      <c r="KK170" s="65"/>
      <c r="KL170" s="13"/>
      <c r="KM170" s="14"/>
      <c r="KO170" s="65"/>
      <c r="KP170" s="13"/>
      <c r="KQ170" s="14"/>
      <c r="KS170" s="65"/>
      <c r="KT170" s="13"/>
      <c r="KU170" s="14"/>
      <c r="KW170" s="65"/>
      <c r="KX170" s="13"/>
      <c r="KY170" s="14"/>
      <c r="LA170" s="65"/>
      <c r="LB170" s="13"/>
      <c r="LC170" s="14"/>
      <c r="LE170" s="65"/>
      <c r="LF170" s="13"/>
      <c r="LG170" s="14"/>
      <c r="LI170" s="65"/>
      <c r="LJ170" s="13"/>
      <c r="LK170" s="14"/>
      <c r="LM170" s="65"/>
      <c r="LN170" s="13"/>
      <c r="LO170" s="14"/>
      <c r="LQ170" s="65"/>
      <c r="LR170" s="13"/>
      <c r="LS170" s="14"/>
      <c r="LU170" s="65"/>
      <c r="LV170" s="13"/>
      <c r="LW170" s="14"/>
      <c r="LY170" s="65"/>
      <c r="LZ170" s="13"/>
      <c r="MA170" s="14"/>
      <c r="MC170" s="65"/>
      <c r="MD170" s="13"/>
      <c r="ME170" s="14"/>
      <c r="MG170" s="65"/>
      <c r="MH170" s="13"/>
      <c r="MI170" s="14"/>
      <c r="MK170" s="65"/>
      <c r="ML170" s="13"/>
      <c r="MM170" s="14"/>
      <c r="MO170" s="65"/>
      <c r="MP170" s="13"/>
      <c r="MQ170" s="14"/>
      <c r="MS170" s="65"/>
      <c r="MT170" s="13"/>
      <c r="MU170" s="14"/>
    </row>
    <row r="171" spans="1:359" hidden="1" x14ac:dyDescent="0.25">
      <c r="A171" s="15">
        <f t="shared" si="192"/>
        <v>0</v>
      </c>
      <c r="B171" s="20">
        <v>42865</v>
      </c>
      <c r="C171"/>
      <c r="D171" s="12">
        <v>5</v>
      </c>
      <c r="E171" s="12">
        <v>1144028.2234093922</v>
      </c>
      <c r="F171" s="14">
        <v>42595</v>
      </c>
      <c r="I171" s="12"/>
      <c r="J171" s="12"/>
      <c r="N171" s="12"/>
      <c r="O171" s="12"/>
      <c r="T171" s="15"/>
      <c r="U171" s="20"/>
      <c r="V171" s="36"/>
      <c r="W171" s="12"/>
      <c r="X171" s="12"/>
      <c r="Y171" s="14"/>
      <c r="AB171" s="12"/>
      <c r="AC171" s="12"/>
      <c r="AG171" s="12"/>
      <c r="AH171" s="12"/>
      <c r="AK171" s="12"/>
      <c r="AL171" s="13"/>
      <c r="AM171" s="14"/>
      <c r="CK171" s="65"/>
      <c r="CL171" s="13"/>
      <c r="CO171" s="65"/>
      <c r="CP171" s="13"/>
      <c r="CS171" s="65"/>
      <c r="CT171" s="13"/>
      <c r="CW171" s="65"/>
      <c r="CX171" s="13"/>
      <c r="DA171" s="65"/>
      <c r="DB171" s="13"/>
      <c r="DE171" s="65"/>
      <c r="DF171" s="13"/>
      <c r="DI171" s="65"/>
      <c r="DJ171" s="13"/>
      <c r="DM171" s="65"/>
      <c r="DN171" s="13"/>
      <c r="DQ171" s="65"/>
      <c r="DR171" s="13"/>
      <c r="DU171" s="65"/>
      <c r="DV171" s="13"/>
      <c r="DY171" s="65"/>
      <c r="DZ171" s="13"/>
      <c r="EA171" s="14"/>
      <c r="EC171" s="65"/>
      <c r="ED171" s="13"/>
      <c r="EE171" s="14"/>
      <c r="EG171" s="65"/>
      <c r="EH171" s="13"/>
      <c r="EI171" s="14"/>
      <c r="EK171" s="65"/>
      <c r="EL171" s="13"/>
      <c r="EM171" s="14"/>
      <c r="EO171" s="65"/>
      <c r="EP171" s="13"/>
      <c r="EQ171" s="14"/>
      <c r="ES171" s="65"/>
      <c r="ET171" s="13"/>
      <c r="EU171" s="14"/>
      <c r="EW171" s="65"/>
      <c r="EX171" s="13"/>
      <c r="EY171" s="14"/>
      <c r="FA171" s="65"/>
      <c r="FB171" s="13"/>
      <c r="FC171" s="14"/>
      <c r="FE171" s="65"/>
      <c r="FF171" s="13"/>
      <c r="FG171" s="14"/>
      <c r="FI171" s="65"/>
      <c r="FJ171" s="13"/>
      <c r="FK171" s="14"/>
      <c r="FM171" s="65"/>
      <c r="FN171" s="13"/>
      <c r="FO171" s="14"/>
      <c r="FQ171" s="65"/>
      <c r="FR171" s="13"/>
      <c r="FS171" s="14"/>
      <c r="FU171" s="65"/>
      <c r="FV171" s="13"/>
      <c r="FW171" s="14"/>
      <c r="FY171" s="65"/>
      <c r="FZ171" s="13"/>
      <c r="GA171" s="14"/>
      <c r="GC171" s="65"/>
      <c r="GD171" s="13"/>
      <c r="GE171" s="14"/>
      <c r="GG171" s="65"/>
      <c r="GH171" s="13"/>
      <c r="GI171" s="14"/>
      <c r="GK171" s="65"/>
      <c r="GL171" s="13"/>
      <c r="GM171" s="14"/>
      <c r="GO171" s="65"/>
      <c r="GP171" s="13"/>
      <c r="GQ171" s="14"/>
      <c r="GS171" s="65"/>
      <c r="GT171" s="13"/>
      <c r="GU171" s="14"/>
      <c r="GW171" s="65"/>
      <c r="GX171" s="13"/>
      <c r="GY171" s="14"/>
      <c r="HA171" s="65"/>
      <c r="HB171" s="13"/>
      <c r="HC171" s="14"/>
      <c r="HE171" s="65"/>
      <c r="HF171" s="13"/>
      <c r="HG171" s="14"/>
      <c r="HI171" s="65"/>
      <c r="HJ171" s="13"/>
      <c r="HK171" s="14"/>
      <c r="HM171" s="65"/>
      <c r="HN171" s="13"/>
      <c r="HO171" s="14"/>
      <c r="HQ171" s="65"/>
      <c r="HR171" s="13"/>
      <c r="HS171" s="14"/>
      <c r="HU171" s="65"/>
      <c r="HV171" s="13"/>
      <c r="HW171" s="14"/>
      <c r="HY171" s="65"/>
      <c r="HZ171" s="13"/>
      <c r="IA171" s="14"/>
      <c r="IC171" s="65"/>
      <c r="ID171" s="13"/>
      <c r="IE171" s="14"/>
      <c r="IG171" s="65"/>
      <c r="IH171" s="13"/>
      <c r="II171" s="14"/>
      <c r="IK171" s="65"/>
      <c r="IL171" s="13"/>
      <c r="IM171" s="14"/>
      <c r="IO171" s="65"/>
      <c r="IP171" s="13"/>
      <c r="IQ171" s="14"/>
      <c r="IS171" s="65"/>
      <c r="IT171" s="13"/>
      <c r="IU171" s="14"/>
      <c r="IW171" s="65"/>
      <c r="IX171" s="13"/>
      <c r="IY171" s="14"/>
      <c r="JA171" s="65"/>
      <c r="JB171" s="13"/>
      <c r="JC171" s="14"/>
      <c r="JE171" s="65"/>
      <c r="JF171" s="13"/>
      <c r="JG171" s="14"/>
      <c r="JI171" s="65"/>
      <c r="JJ171" s="13"/>
      <c r="JK171" s="14"/>
      <c r="JM171" s="65"/>
      <c r="JN171" s="13"/>
      <c r="JO171" s="14"/>
      <c r="JQ171" s="65"/>
      <c r="JR171" s="13"/>
      <c r="JS171" s="14"/>
      <c r="JU171" s="65"/>
      <c r="JV171" s="13"/>
      <c r="JW171" s="14"/>
      <c r="JY171" s="65"/>
      <c r="JZ171" s="13"/>
      <c r="KA171" s="14"/>
      <c r="KC171" s="65"/>
      <c r="KD171" s="13"/>
      <c r="KE171" s="14"/>
      <c r="KG171" s="65"/>
      <c r="KH171" s="13"/>
      <c r="KI171" s="14"/>
      <c r="KK171" s="65"/>
      <c r="KL171" s="13"/>
      <c r="KM171" s="14"/>
      <c r="KO171" s="65"/>
      <c r="KP171" s="13"/>
      <c r="KQ171" s="14"/>
      <c r="KS171" s="65"/>
      <c r="KT171" s="13"/>
      <c r="KU171" s="14"/>
      <c r="KW171" s="65"/>
      <c r="KX171" s="13"/>
      <c r="KY171" s="14"/>
      <c r="LA171" s="65"/>
      <c r="LB171" s="13"/>
      <c r="LC171" s="14"/>
      <c r="LE171" s="65"/>
      <c r="LF171" s="13"/>
      <c r="LG171" s="14"/>
      <c r="LI171" s="65"/>
      <c r="LJ171" s="13"/>
      <c r="LK171" s="14"/>
      <c r="LM171" s="65"/>
      <c r="LN171" s="13"/>
      <c r="LO171" s="14"/>
      <c r="LQ171" s="65"/>
      <c r="LR171" s="13"/>
      <c r="LS171" s="14"/>
      <c r="LU171" s="65"/>
      <c r="LV171" s="13"/>
      <c r="LW171" s="14"/>
      <c r="LY171" s="65"/>
      <c r="LZ171" s="13"/>
      <c r="MA171" s="14"/>
      <c r="MC171" s="65"/>
      <c r="MD171" s="13"/>
      <c r="ME171" s="14"/>
      <c r="MG171" s="65"/>
      <c r="MH171" s="13"/>
      <c r="MI171" s="14"/>
      <c r="MK171" s="65"/>
      <c r="ML171" s="13"/>
      <c r="MM171" s="14"/>
      <c r="MO171" s="65"/>
      <c r="MP171" s="13"/>
      <c r="MQ171" s="14"/>
      <c r="MS171" s="65"/>
      <c r="MT171" s="13"/>
      <c r="MU171" s="14"/>
    </row>
    <row r="172" spans="1:359" hidden="1" x14ac:dyDescent="0.25">
      <c r="A172" s="15">
        <f t="shared" si="192"/>
        <v>0</v>
      </c>
      <c r="B172" s="20">
        <v>42866</v>
      </c>
      <c r="C172"/>
      <c r="D172" s="12">
        <v>4</v>
      </c>
      <c r="E172" s="12">
        <v>1144055.5281205208</v>
      </c>
      <c r="F172" s="14">
        <v>42596</v>
      </c>
      <c r="I172" s="12"/>
      <c r="J172" s="12"/>
      <c r="N172" s="12"/>
      <c r="O172" s="12"/>
      <c r="T172" s="15"/>
      <c r="U172" s="20"/>
      <c r="V172" s="36"/>
      <c r="W172" s="12"/>
      <c r="X172" s="12"/>
      <c r="Y172" s="14"/>
      <c r="AB172" s="12"/>
      <c r="AC172" s="12"/>
      <c r="AG172" s="12"/>
      <c r="AH172" s="12"/>
      <c r="AK172" s="12"/>
      <c r="AL172" s="13"/>
      <c r="AM172" s="14"/>
      <c r="CK172" s="65"/>
      <c r="CL172" s="13"/>
      <c r="CO172" s="65"/>
      <c r="CP172" s="13"/>
      <c r="CS172" s="65"/>
      <c r="CT172" s="13"/>
      <c r="CW172" s="65"/>
      <c r="CX172" s="13"/>
      <c r="DA172" s="65"/>
      <c r="DB172" s="13"/>
      <c r="DE172" s="65"/>
      <c r="DF172" s="13"/>
      <c r="DI172" s="65"/>
      <c r="DJ172" s="13"/>
      <c r="DM172" s="65"/>
      <c r="DN172" s="13"/>
      <c r="DQ172" s="65"/>
      <c r="DR172" s="13"/>
      <c r="DU172" s="65"/>
      <c r="DV172" s="13"/>
      <c r="DY172" s="65"/>
      <c r="DZ172" s="13"/>
      <c r="EA172" s="14"/>
      <c r="EC172" s="65"/>
      <c r="ED172" s="13"/>
      <c r="EE172" s="14"/>
      <c r="EG172" s="65"/>
      <c r="EH172" s="13"/>
      <c r="EI172" s="14"/>
      <c r="EK172" s="65"/>
      <c r="EL172" s="13"/>
      <c r="EM172" s="14"/>
      <c r="EO172" s="65"/>
      <c r="EP172" s="13"/>
      <c r="EQ172" s="14"/>
      <c r="ES172" s="65"/>
      <c r="ET172" s="13"/>
      <c r="EU172" s="14"/>
      <c r="EW172" s="65"/>
      <c r="EX172" s="13"/>
      <c r="EY172" s="14"/>
      <c r="FA172" s="65"/>
      <c r="FB172" s="13"/>
      <c r="FC172" s="14"/>
      <c r="FE172" s="65"/>
      <c r="FF172" s="13"/>
      <c r="FG172" s="14"/>
      <c r="FI172" s="65"/>
      <c r="FJ172" s="13"/>
      <c r="FK172" s="14"/>
      <c r="FM172" s="65"/>
      <c r="FN172" s="13"/>
      <c r="FO172" s="14"/>
      <c r="FQ172" s="65"/>
      <c r="FR172" s="13"/>
      <c r="FS172" s="14"/>
      <c r="FU172" s="65"/>
      <c r="FV172" s="13"/>
      <c r="FW172" s="14"/>
      <c r="FY172" s="65"/>
      <c r="FZ172" s="13"/>
      <c r="GA172" s="14"/>
      <c r="GC172" s="65"/>
      <c r="GD172" s="13"/>
      <c r="GE172" s="14"/>
      <c r="GG172" s="65"/>
      <c r="GH172" s="13"/>
      <c r="GI172" s="14"/>
      <c r="GK172" s="65"/>
      <c r="GL172" s="13"/>
      <c r="GM172" s="14"/>
      <c r="GO172" s="65"/>
      <c r="GP172" s="13"/>
      <c r="GQ172" s="14"/>
      <c r="GS172" s="65"/>
      <c r="GT172" s="13"/>
      <c r="GU172" s="14"/>
      <c r="GW172" s="65"/>
      <c r="GX172" s="13"/>
      <c r="GY172" s="14"/>
      <c r="HA172" s="65"/>
      <c r="HB172" s="13"/>
      <c r="HC172" s="14"/>
      <c r="HE172" s="65"/>
      <c r="HF172" s="13"/>
      <c r="HG172" s="14"/>
      <c r="HI172" s="65"/>
      <c r="HJ172" s="13"/>
      <c r="HK172" s="14"/>
      <c r="HM172" s="65"/>
      <c r="HN172" s="13"/>
      <c r="HO172" s="14"/>
      <c r="HQ172" s="65"/>
      <c r="HR172" s="13"/>
      <c r="HS172" s="14"/>
      <c r="HU172" s="65"/>
      <c r="HV172" s="13"/>
      <c r="HW172" s="14"/>
      <c r="HY172" s="65"/>
      <c r="HZ172" s="13"/>
      <c r="IA172" s="14"/>
      <c r="IC172" s="65"/>
      <c r="ID172" s="13"/>
      <c r="IE172" s="14"/>
      <c r="IG172" s="65"/>
      <c r="IH172" s="13"/>
      <c r="II172" s="14"/>
      <c r="IK172" s="65"/>
      <c r="IL172" s="13"/>
      <c r="IM172" s="14"/>
      <c r="IO172" s="65"/>
      <c r="IP172" s="13"/>
      <c r="IQ172" s="14"/>
      <c r="IS172" s="65"/>
      <c r="IT172" s="13"/>
      <c r="IU172" s="14"/>
      <c r="IW172" s="65"/>
      <c r="IX172" s="13"/>
      <c r="IY172" s="14"/>
      <c r="JA172" s="65"/>
      <c r="JB172" s="13"/>
      <c r="JC172" s="14"/>
      <c r="JE172" s="65"/>
      <c r="JF172" s="13"/>
      <c r="JG172" s="14"/>
      <c r="JI172" s="65"/>
      <c r="JJ172" s="13"/>
      <c r="JK172" s="14"/>
      <c r="JM172" s="65"/>
      <c r="JN172" s="13"/>
      <c r="JO172" s="14"/>
      <c r="JQ172" s="65"/>
      <c r="JR172" s="13"/>
      <c r="JS172" s="14"/>
      <c r="JU172" s="65"/>
      <c r="JV172" s="13"/>
      <c r="JW172" s="14"/>
      <c r="JY172" s="65"/>
      <c r="JZ172" s="13"/>
      <c r="KA172" s="14"/>
      <c r="KC172" s="65"/>
      <c r="KD172" s="13"/>
      <c r="KE172" s="14"/>
      <c r="KG172" s="65"/>
      <c r="KH172" s="13"/>
      <c r="KI172" s="14"/>
      <c r="KK172" s="65"/>
      <c r="KL172" s="13"/>
      <c r="KM172" s="14"/>
      <c r="KO172" s="65"/>
      <c r="KP172" s="13"/>
      <c r="KQ172" s="14"/>
      <c r="KS172" s="65"/>
      <c r="KT172" s="13"/>
      <c r="KU172" s="14"/>
      <c r="KW172" s="65"/>
      <c r="KX172" s="13"/>
      <c r="KY172" s="14"/>
      <c r="LA172" s="65"/>
      <c r="LB172" s="13"/>
      <c r="LC172" s="14"/>
      <c r="LE172" s="65"/>
      <c r="LF172" s="13"/>
      <c r="LG172" s="14"/>
      <c r="LI172" s="65"/>
      <c r="LJ172" s="13"/>
      <c r="LK172" s="14"/>
      <c r="LM172" s="65"/>
      <c r="LN172" s="13"/>
      <c r="LO172" s="14"/>
      <c r="LQ172" s="65"/>
      <c r="LR172" s="13"/>
      <c r="LS172" s="14"/>
      <c r="LU172" s="65"/>
      <c r="LV172" s="13"/>
      <c r="LW172" s="14"/>
      <c r="LY172" s="65"/>
      <c r="LZ172" s="13"/>
      <c r="MA172" s="14"/>
      <c r="MC172" s="65"/>
      <c r="MD172" s="13"/>
      <c r="ME172" s="14"/>
      <c r="MG172" s="65"/>
      <c r="MH172" s="13"/>
      <c r="MI172" s="14"/>
      <c r="MK172" s="65"/>
      <c r="ML172" s="13"/>
      <c r="MM172" s="14"/>
      <c r="MO172" s="65"/>
      <c r="MP172" s="13"/>
      <c r="MQ172" s="14"/>
      <c r="MS172" s="65"/>
      <c r="MT172" s="13"/>
      <c r="MU172" s="14"/>
    </row>
    <row r="173" spans="1:359" hidden="1" x14ac:dyDescent="0.25">
      <c r="A173" s="15">
        <f t="shared" si="192"/>
        <v>0</v>
      </c>
      <c r="B173" s="20">
        <v>42867</v>
      </c>
      <c r="C173"/>
      <c r="D173" s="12">
        <v>3</v>
      </c>
      <c r="E173" s="12">
        <v>1144082.8341350523</v>
      </c>
      <c r="F173" s="14">
        <v>42597</v>
      </c>
      <c r="I173" s="12"/>
      <c r="J173" s="12"/>
      <c r="N173" s="12"/>
      <c r="O173" s="12"/>
      <c r="T173" s="15"/>
      <c r="U173" s="20"/>
      <c r="V173" s="36"/>
      <c r="W173" s="12"/>
      <c r="X173" s="12"/>
      <c r="Y173" s="14"/>
      <c r="AB173" s="12"/>
      <c r="AC173" s="12"/>
      <c r="AG173" s="12"/>
      <c r="AH173" s="12"/>
      <c r="AK173" s="12"/>
      <c r="AL173" s="13"/>
      <c r="AM173" s="14"/>
      <c r="CK173" s="65"/>
      <c r="CL173" s="13"/>
      <c r="CO173" s="65"/>
      <c r="CP173" s="13"/>
      <c r="CS173" s="65"/>
      <c r="CT173" s="13"/>
      <c r="CW173" s="65"/>
      <c r="CX173" s="13"/>
      <c r="DA173" s="65"/>
      <c r="DB173" s="13"/>
      <c r="DE173" s="65"/>
      <c r="DF173" s="13"/>
      <c r="DI173" s="65"/>
      <c r="DJ173" s="13"/>
      <c r="DM173" s="65"/>
      <c r="DN173" s="13"/>
      <c r="DQ173" s="65"/>
      <c r="DR173" s="13"/>
      <c r="DU173" s="65"/>
      <c r="DV173" s="13"/>
      <c r="DY173" s="65"/>
      <c r="DZ173" s="13"/>
      <c r="EA173" s="14"/>
      <c r="EC173" s="65"/>
      <c r="ED173" s="13"/>
      <c r="EE173" s="14"/>
      <c r="EG173" s="65"/>
      <c r="EH173" s="13"/>
      <c r="EI173" s="14"/>
      <c r="EK173" s="65"/>
      <c r="EL173" s="13"/>
      <c r="EM173" s="14"/>
      <c r="EO173" s="65"/>
      <c r="EP173" s="13"/>
      <c r="EQ173" s="14"/>
      <c r="ES173" s="65"/>
      <c r="ET173" s="13"/>
      <c r="EU173" s="14"/>
      <c r="EW173" s="65"/>
      <c r="EX173" s="13"/>
      <c r="EY173" s="14"/>
      <c r="FA173" s="65"/>
      <c r="FB173" s="13"/>
      <c r="FC173" s="14"/>
      <c r="FE173" s="65"/>
      <c r="FF173" s="13"/>
      <c r="FG173" s="14"/>
      <c r="FI173" s="65"/>
      <c r="FJ173" s="13"/>
      <c r="FK173" s="14"/>
      <c r="FM173" s="65"/>
      <c r="FN173" s="13"/>
      <c r="FO173" s="14"/>
      <c r="FQ173" s="65"/>
      <c r="FR173" s="13"/>
      <c r="FS173" s="14"/>
      <c r="FU173" s="65"/>
      <c r="FV173" s="13"/>
      <c r="FW173" s="14"/>
      <c r="FY173" s="65"/>
      <c r="FZ173" s="13"/>
      <c r="GA173" s="14"/>
      <c r="GC173" s="65"/>
      <c r="GD173" s="13"/>
      <c r="GE173" s="14"/>
      <c r="GG173" s="65"/>
      <c r="GH173" s="13"/>
      <c r="GI173" s="14"/>
      <c r="GK173" s="65"/>
      <c r="GL173" s="13"/>
      <c r="GM173" s="14"/>
      <c r="GO173" s="65"/>
      <c r="GP173" s="13"/>
      <c r="GQ173" s="14"/>
      <c r="GS173" s="65"/>
      <c r="GT173" s="13"/>
      <c r="GU173" s="14"/>
      <c r="GW173" s="65"/>
      <c r="GX173" s="13"/>
      <c r="GY173" s="14"/>
      <c r="HA173" s="65"/>
      <c r="HB173" s="13"/>
      <c r="HC173" s="14"/>
      <c r="HE173" s="65"/>
      <c r="HF173" s="13"/>
      <c r="HG173" s="14"/>
      <c r="HI173" s="65"/>
      <c r="HJ173" s="13"/>
      <c r="HK173" s="14"/>
      <c r="HM173" s="65"/>
      <c r="HN173" s="13"/>
      <c r="HO173" s="14"/>
      <c r="HQ173" s="65"/>
      <c r="HR173" s="13"/>
      <c r="HS173" s="14"/>
      <c r="HU173" s="65"/>
      <c r="HV173" s="13"/>
      <c r="HW173" s="14"/>
      <c r="HY173" s="65"/>
      <c r="HZ173" s="13"/>
      <c r="IA173" s="14"/>
      <c r="IC173" s="65"/>
      <c r="ID173" s="13"/>
      <c r="IE173" s="14"/>
      <c r="IG173" s="65"/>
      <c r="IH173" s="13"/>
      <c r="II173" s="14"/>
      <c r="IK173" s="65"/>
      <c r="IL173" s="13"/>
      <c r="IM173" s="14"/>
      <c r="IO173" s="65"/>
      <c r="IP173" s="13"/>
      <c r="IQ173" s="14"/>
      <c r="IS173" s="65"/>
      <c r="IT173" s="13"/>
      <c r="IU173" s="14"/>
      <c r="IW173" s="65"/>
      <c r="IX173" s="13"/>
      <c r="IY173" s="14"/>
      <c r="JA173" s="65"/>
      <c r="JB173" s="13"/>
      <c r="JC173" s="14"/>
      <c r="JE173" s="65"/>
      <c r="JF173" s="13"/>
      <c r="JG173" s="14"/>
      <c r="JI173" s="65"/>
      <c r="JJ173" s="13"/>
      <c r="JK173" s="14"/>
      <c r="JM173" s="65"/>
      <c r="JN173" s="13"/>
      <c r="JO173" s="14"/>
      <c r="JQ173" s="65"/>
      <c r="JR173" s="13"/>
      <c r="JS173" s="14"/>
      <c r="JU173" s="65"/>
      <c r="JV173" s="13"/>
      <c r="JW173" s="14"/>
      <c r="JY173" s="65"/>
      <c r="JZ173" s="13"/>
      <c r="KA173" s="14"/>
      <c r="KC173" s="65"/>
      <c r="KD173" s="13"/>
      <c r="KE173" s="14"/>
      <c r="KG173" s="65"/>
      <c r="KH173" s="13"/>
      <c r="KI173" s="14"/>
      <c r="KK173" s="65"/>
      <c r="KL173" s="13"/>
      <c r="KM173" s="14"/>
      <c r="KO173" s="65"/>
      <c r="KP173" s="13"/>
      <c r="KQ173" s="14"/>
      <c r="KS173" s="65"/>
      <c r="KT173" s="13"/>
      <c r="KU173" s="14"/>
      <c r="KW173" s="65"/>
      <c r="KX173" s="13"/>
      <c r="KY173" s="14"/>
      <c r="LA173" s="65"/>
      <c r="LB173" s="13"/>
      <c r="LC173" s="14"/>
      <c r="LE173" s="65"/>
      <c r="LF173" s="13"/>
      <c r="LG173" s="14"/>
      <c r="LI173" s="65"/>
      <c r="LJ173" s="13"/>
      <c r="LK173" s="14"/>
      <c r="LM173" s="65"/>
      <c r="LN173" s="13"/>
      <c r="LO173" s="14"/>
      <c r="LQ173" s="65"/>
      <c r="LR173" s="13"/>
      <c r="LS173" s="14"/>
      <c r="LU173" s="65"/>
      <c r="LV173" s="13"/>
      <c r="LW173" s="14"/>
      <c r="LY173" s="65"/>
      <c r="LZ173" s="13"/>
      <c r="MA173" s="14"/>
      <c r="MC173" s="65"/>
      <c r="MD173" s="13"/>
      <c r="ME173" s="14"/>
      <c r="MG173" s="65"/>
      <c r="MH173" s="13"/>
      <c r="MI173" s="14"/>
      <c r="MK173" s="65"/>
      <c r="ML173" s="13"/>
      <c r="MM173" s="14"/>
      <c r="MO173" s="65"/>
      <c r="MP173" s="13"/>
      <c r="MQ173" s="14"/>
      <c r="MS173" s="65"/>
      <c r="MT173" s="13"/>
      <c r="MU173" s="14"/>
    </row>
    <row r="174" spans="1:359" hidden="1" x14ac:dyDescent="0.25">
      <c r="A174" s="15">
        <f t="shared" si="192"/>
        <v>0</v>
      </c>
      <c r="B174" s="20">
        <v>42868</v>
      </c>
      <c r="C174"/>
      <c r="D174" s="12">
        <v>2</v>
      </c>
      <c r="E174" s="12">
        <v>1144110.1414530806</v>
      </c>
      <c r="F174" s="14">
        <v>42598</v>
      </c>
      <c r="I174" s="12"/>
      <c r="J174" s="12"/>
      <c r="N174" s="12"/>
      <c r="O174" s="12"/>
      <c r="T174" s="15"/>
      <c r="U174" s="20"/>
      <c r="V174" s="36"/>
      <c r="W174" s="12"/>
      <c r="X174" s="12"/>
      <c r="Y174" s="14"/>
      <c r="AB174" s="12"/>
      <c r="AC174" s="12"/>
      <c r="AG174" s="12"/>
      <c r="AH174" s="12"/>
      <c r="AK174" s="12"/>
      <c r="AL174" s="13"/>
      <c r="AM174" s="14"/>
      <c r="CK174" s="65"/>
      <c r="CL174" s="13"/>
      <c r="CO174" s="65"/>
      <c r="CP174" s="13"/>
      <c r="CS174" s="65"/>
      <c r="CT174" s="13"/>
      <c r="CW174" s="65"/>
      <c r="CX174" s="13"/>
      <c r="DA174" s="65"/>
      <c r="DB174" s="13"/>
      <c r="DE174" s="65"/>
      <c r="DF174" s="13"/>
      <c r="DI174" s="65"/>
      <c r="DJ174" s="13"/>
      <c r="DM174" s="65"/>
      <c r="DN174" s="13"/>
      <c r="DQ174" s="65"/>
      <c r="DR174" s="13"/>
      <c r="DU174" s="65"/>
      <c r="DV174" s="13"/>
      <c r="DY174" s="65"/>
      <c r="DZ174" s="13"/>
      <c r="EA174" s="14"/>
      <c r="EC174" s="65"/>
      <c r="ED174" s="13"/>
      <c r="EE174" s="14"/>
      <c r="EG174" s="65"/>
      <c r="EH174" s="13"/>
      <c r="EI174" s="14"/>
      <c r="EK174" s="65"/>
      <c r="EL174" s="13"/>
      <c r="EM174" s="14"/>
      <c r="EO174" s="65"/>
      <c r="EP174" s="13"/>
      <c r="EQ174" s="14"/>
      <c r="ES174" s="65"/>
      <c r="ET174" s="13"/>
      <c r="EU174" s="14"/>
      <c r="EW174" s="65"/>
      <c r="EX174" s="13"/>
      <c r="EY174" s="14"/>
      <c r="FA174" s="65"/>
      <c r="FB174" s="13"/>
      <c r="FC174" s="14"/>
      <c r="FE174" s="65"/>
      <c r="FF174" s="13"/>
      <c r="FG174" s="14"/>
      <c r="FI174" s="65"/>
      <c r="FJ174" s="13"/>
      <c r="FK174" s="14"/>
      <c r="FM174" s="65"/>
      <c r="FN174" s="13"/>
      <c r="FO174" s="14"/>
      <c r="FQ174" s="65"/>
      <c r="FR174" s="13"/>
      <c r="FS174" s="14"/>
      <c r="FU174" s="65"/>
      <c r="FV174" s="13"/>
      <c r="FW174" s="14"/>
      <c r="FY174" s="65"/>
      <c r="FZ174" s="13"/>
      <c r="GA174" s="14"/>
      <c r="GC174" s="65"/>
      <c r="GD174" s="13"/>
      <c r="GE174" s="14"/>
      <c r="GG174" s="65"/>
      <c r="GH174" s="13"/>
      <c r="GI174" s="14"/>
      <c r="GK174" s="65"/>
      <c r="GL174" s="13"/>
      <c r="GM174" s="14"/>
      <c r="GO174" s="65"/>
      <c r="GP174" s="13"/>
      <c r="GQ174" s="14"/>
      <c r="GS174" s="65"/>
      <c r="GT174" s="13"/>
      <c r="GU174" s="14"/>
      <c r="GW174" s="65"/>
      <c r="GX174" s="13"/>
      <c r="GY174" s="14"/>
      <c r="HA174" s="65"/>
      <c r="HB174" s="13"/>
      <c r="HC174" s="14"/>
      <c r="HE174" s="65"/>
      <c r="HF174" s="13"/>
      <c r="HG174" s="14"/>
      <c r="HI174" s="65"/>
      <c r="HJ174" s="13"/>
      <c r="HK174" s="14"/>
      <c r="HM174" s="65"/>
      <c r="HN174" s="13"/>
      <c r="HO174" s="14"/>
      <c r="HQ174" s="65"/>
      <c r="HR174" s="13"/>
      <c r="HS174" s="14"/>
      <c r="HU174" s="65"/>
      <c r="HV174" s="13"/>
      <c r="HW174" s="14"/>
      <c r="HY174" s="65"/>
      <c r="HZ174" s="13"/>
      <c r="IA174" s="14"/>
      <c r="IC174" s="65"/>
      <c r="ID174" s="13"/>
      <c r="IE174" s="14"/>
      <c r="IG174" s="65"/>
      <c r="IH174" s="13"/>
      <c r="II174" s="14"/>
      <c r="IK174" s="65"/>
      <c r="IL174" s="13"/>
      <c r="IM174" s="14"/>
      <c r="IO174" s="65"/>
      <c r="IP174" s="13"/>
      <c r="IQ174" s="14"/>
      <c r="IS174" s="65"/>
      <c r="IT174" s="13"/>
      <c r="IU174" s="14"/>
      <c r="IW174" s="65"/>
      <c r="IX174" s="13"/>
      <c r="IY174" s="14"/>
      <c r="JA174" s="65"/>
      <c r="JB174" s="13"/>
      <c r="JC174" s="14"/>
      <c r="JE174" s="65"/>
      <c r="JF174" s="13"/>
      <c r="JG174" s="14"/>
      <c r="JI174" s="65"/>
      <c r="JJ174" s="13"/>
      <c r="JK174" s="14"/>
      <c r="JM174" s="65"/>
      <c r="JN174" s="13"/>
      <c r="JO174" s="14"/>
      <c r="JQ174" s="65"/>
      <c r="JR174" s="13"/>
      <c r="JS174" s="14"/>
      <c r="JU174" s="65"/>
      <c r="JV174" s="13"/>
      <c r="JW174" s="14"/>
      <c r="JY174" s="65"/>
      <c r="JZ174" s="13"/>
      <c r="KA174" s="14"/>
      <c r="KC174" s="65"/>
      <c r="KD174" s="13"/>
      <c r="KE174" s="14"/>
      <c r="KG174" s="65"/>
      <c r="KH174" s="13"/>
      <c r="KI174" s="14"/>
      <c r="KK174" s="65"/>
      <c r="KL174" s="13"/>
      <c r="KM174" s="14"/>
      <c r="KO174" s="65"/>
      <c r="KP174" s="13"/>
      <c r="KQ174" s="14"/>
      <c r="KS174" s="65"/>
      <c r="KT174" s="13"/>
      <c r="KU174" s="14"/>
      <c r="KW174" s="65"/>
      <c r="KX174" s="13"/>
      <c r="KY174" s="14"/>
      <c r="LA174" s="65"/>
      <c r="LB174" s="13"/>
      <c r="LC174" s="14"/>
      <c r="LE174" s="65"/>
      <c r="LF174" s="13"/>
      <c r="LG174" s="14"/>
      <c r="LI174" s="65"/>
      <c r="LJ174" s="13"/>
      <c r="LK174" s="14"/>
      <c r="LM174" s="65"/>
      <c r="LN174" s="13"/>
      <c r="LO174" s="14"/>
      <c r="LQ174" s="65"/>
      <c r="LR174" s="13"/>
      <c r="LS174" s="14"/>
      <c r="LU174" s="65"/>
      <c r="LV174" s="13"/>
      <c r="LW174" s="14"/>
      <c r="LY174" s="65"/>
      <c r="LZ174" s="13"/>
      <c r="MA174" s="14"/>
      <c r="MC174" s="65"/>
      <c r="MD174" s="13"/>
      <c r="ME174" s="14"/>
      <c r="MG174" s="65"/>
      <c r="MH174" s="13"/>
      <c r="MI174" s="14"/>
      <c r="MK174" s="65"/>
      <c r="ML174" s="13"/>
      <c r="MM174" s="14"/>
      <c r="MO174" s="65"/>
      <c r="MP174" s="13"/>
      <c r="MQ174" s="14"/>
      <c r="MS174" s="65"/>
      <c r="MT174" s="13"/>
      <c r="MU174" s="14"/>
    </row>
    <row r="175" spans="1:359" hidden="1" x14ac:dyDescent="0.25">
      <c r="A175" s="15">
        <f t="shared" si="192"/>
        <v>0</v>
      </c>
      <c r="B175" s="20">
        <v>42869</v>
      </c>
      <c r="C175"/>
      <c r="D175" s="12">
        <v>1</v>
      </c>
      <c r="E175" s="12">
        <v>1144137.4500746985</v>
      </c>
      <c r="F175" s="14">
        <v>42599</v>
      </c>
      <c r="I175" s="12"/>
      <c r="J175" s="12"/>
      <c r="N175" s="12"/>
      <c r="O175" s="12"/>
      <c r="T175" s="15"/>
      <c r="U175" s="20"/>
      <c r="V175" s="36"/>
      <c r="W175" s="12"/>
      <c r="X175" s="12"/>
      <c r="Y175" s="14"/>
      <c r="AB175" s="12"/>
      <c r="AC175" s="12"/>
      <c r="AG175" s="12"/>
      <c r="AH175" s="12"/>
      <c r="AK175" s="12"/>
      <c r="AL175" s="13"/>
      <c r="AM175" s="14"/>
      <c r="CK175" s="65"/>
      <c r="CL175" s="13"/>
      <c r="CO175" s="65"/>
      <c r="CP175" s="13"/>
      <c r="CS175" s="65"/>
      <c r="CT175" s="13"/>
      <c r="CW175" s="65"/>
      <c r="CX175" s="13"/>
      <c r="DA175" s="65"/>
      <c r="DB175" s="13"/>
      <c r="DE175" s="65"/>
      <c r="DF175" s="13"/>
      <c r="DI175" s="65"/>
      <c r="DJ175" s="13"/>
      <c r="DM175" s="65"/>
      <c r="DN175" s="13"/>
      <c r="DQ175" s="65"/>
      <c r="DR175" s="13"/>
      <c r="DU175" s="65"/>
      <c r="DV175" s="13"/>
      <c r="DY175" s="65"/>
      <c r="DZ175" s="13"/>
      <c r="EA175" s="14"/>
      <c r="EC175" s="65"/>
      <c r="ED175" s="13"/>
      <c r="EE175" s="14"/>
      <c r="EG175" s="65"/>
      <c r="EH175" s="13"/>
      <c r="EI175" s="14"/>
      <c r="EK175" s="65"/>
      <c r="EL175" s="13"/>
      <c r="EM175" s="14"/>
      <c r="EO175" s="65"/>
      <c r="EP175" s="13"/>
      <c r="EQ175" s="14"/>
      <c r="ES175" s="65"/>
      <c r="ET175" s="13"/>
      <c r="EU175" s="14"/>
      <c r="EW175" s="65"/>
      <c r="EX175" s="13"/>
      <c r="EY175" s="14"/>
      <c r="FA175" s="65"/>
      <c r="FB175" s="13"/>
      <c r="FC175" s="14"/>
      <c r="FE175" s="65"/>
      <c r="FF175" s="13"/>
      <c r="FG175" s="14"/>
      <c r="FI175" s="65"/>
      <c r="FJ175" s="13"/>
      <c r="FK175" s="14"/>
      <c r="FM175" s="65"/>
      <c r="FN175" s="13"/>
      <c r="FO175" s="14"/>
      <c r="FQ175" s="65"/>
      <c r="FR175" s="13"/>
      <c r="FS175" s="14"/>
      <c r="FU175" s="65"/>
      <c r="FV175" s="13"/>
      <c r="FW175" s="14"/>
      <c r="FY175" s="65"/>
      <c r="FZ175" s="13"/>
      <c r="GA175" s="14"/>
      <c r="GC175" s="65"/>
      <c r="GD175" s="13"/>
      <c r="GE175" s="14"/>
      <c r="GG175" s="65"/>
      <c r="GH175" s="13"/>
      <c r="GI175" s="14"/>
      <c r="GK175" s="65"/>
      <c r="GL175" s="13"/>
      <c r="GM175" s="14"/>
      <c r="GO175" s="65"/>
      <c r="GP175" s="13"/>
      <c r="GQ175" s="14"/>
      <c r="GS175" s="65"/>
      <c r="GT175" s="13"/>
      <c r="GU175" s="14"/>
      <c r="GW175" s="65"/>
      <c r="GX175" s="13"/>
      <c r="GY175" s="14"/>
      <c r="HA175" s="65"/>
      <c r="HB175" s="13"/>
      <c r="HC175" s="14"/>
      <c r="HE175" s="65"/>
      <c r="HF175" s="13"/>
      <c r="HG175" s="14"/>
      <c r="HI175" s="65"/>
      <c r="HJ175" s="13"/>
      <c r="HK175" s="14"/>
      <c r="HM175" s="65"/>
      <c r="HN175" s="13"/>
      <c r="HO175" s="14"/>
      <c r="HQ175" s="65"/>
      <c r="HR175" s="13"/>
      <c r="HS175" s="14"/>
      <c r="HU175" s="65"/>
      <c r="HV175" s="13"/>
      <c r="HW175" s="14"/>
      <c r="HY175" s="65"/>
      <c r="HZ175" s="13"/>
      <c r="IA175" s="14"/>
      <c r="IC175" s="65"/>
      <c r="ID175" s="13"/>
      <c r="IE175" s="14"/>
      <c r="IG175" s="65"/>
      <c r="IH175" s="13"/>
      <c r="II175" s="14"/>
      <c r="IK175" s="65"/>
      <c r="IL175" s="13"/>
      <c r="IM175" s="14"/>
      <c r="IO175" s="65"/>
      <c r="IP175" s="13"/>
      <c r="IQ175" s="14"/>
      <c r="IS175" s="65"/>
      <c r="IT175" s="13"/>
      <c r="IU175" s="14"/>
      <c r="IW175" s="65"/>
      <c r="IX175" s="13"/>
      <c r="IY175" s="14"/>
      <c r="JA175" s="65"/>
      <c r="JB175" s="13"/>
      <c r="JC175" s="14"/>
      <c r="JE175" s="65"/>
      <c r="JF175" s="13"/>
      <c r="JG175" s="14"/>
      <c r="JI175" s="65"/>
      <c r="JJ175" s="13"/>
      <c r="JK175" s="14"/>
      <c r="JM175" s="65"/>
      <c r="JN175" s="13"/>
      <c r="JO175" s="14"/>
      <c r="JQ175" s="65"/>
      <c r="JR175" s="13"/>
      <c r="JS175" s="14"/>
      <c r="JU175" s="65"/>
      <c r="JV175" s="13"/>
      <c r="JW175" s="14"/>
      <c r="JY175" s="65"/>
      <c r="JZ175" s="13"/>
      <c r="KA175" s="14"/>
      <c r="KC175" s="65"/>
      <c r="KD175" s="13"/>
      <c r="KE175" s="14"/>
      <c r="KG175" s="65"/>
      <c r="KH175" s="13"/>
      <c r="KI175" s="14"/>
      <c r="KK175" s="65"/>
      <c r="KL175" s="13"/>
      <c r="KM175" s="14"/>
      <c r="KO175" s="65"/>
      <c r="KP175" s="13"/>
      <c r="KQ175" s="14"/>
      <c r="KS175" s="65"/>
      <c r="KT175" s="13"/>
      <c r="KU175" s="14"/>
      <c r="KW175" s="65"/>
      <c r="KX175" s="13"/>
      <c r="KY175" s="14"/>
      <c r="LA175" s="65"/>
      <c r="LB175" s="13"/>
      <c r="LC175" s="14"/>
      <c r="LE175" s="65"/>
      <c r="LF175" s="13"/>
      <c r="LG175" s="14"/>
      <c r="LI175" s="65"/>
      <c r="LJ175" s="13"/>
      <c r="LK175" s="14"/>
      <c r="LM175" s="65"/>
      <c r="LN175" s="13"/>
      <c r="LO175" s="14"/>
      <c r="LQ175" s="65"/>
      <c r="LR175" s="13"/>
      <c r="LS175" s="14"/>
      <c r="LU175" s="65"/>
      <c r="LV175" s="13"/>
      <c r="LW175" s="14"/>
      <c r="LY175" s="65"/>
      <c r="LZ175" s="13"/>
      <c r="MA175" s="14"/>
      <c r="MC175" s="65"/>
      <c r="MD175" s="13"/>
      <c r="ME175" s="14"/>
      <c r="MG175" s="65"/>
      <c r="MH175" s="13"/>
      <c r="MI175" s="14"/>
      <c r="MK175" s="65"/>
      <c r="ML175" s="13"/>
      <c r="MM175" s="14"/>
      <c r="MO175" s="65"/>
      <c r="MP175" s="13"/>
      <c r="MQ175" s="14"/>
      <c r="MS175" s="65"/>
      <c r="MT175" s="13"/>
      <c r="MU175" s="14"/>
    </row>
    <row r="176" spans="1:359" hidden="1" x14ac:dyDescent="0.25">
      <c r="A176" s="15">
        <f t="shared" si="192"/>
        <v>0</v>
      </c>
      <c r="B176" s="20">
        <v>42870</v>
      </c>
      <c r="C176"/>
      <c r="D176" s="12">
        <v>0</v>
      </c>
      <c r="E176" s="12">
        <v>1144164.76</v>
      </c>
      <c r="F176" s="14">
        <v>42600</v>
      </c>
      <c r="I176" s="12"/>
      <c r="J176" s="12"/>
      <c r="N176" s="12"/>
      <c r="O176" s="12"/>
      <c r="T176" s="15"/>
      <c r="U176" s="20"/>
      <c r="V176" s="36"/>
      <c r="W176" s="12"/>
      <c r="X176" s="12"/>
      <c r="Y176" s="14"/>
      <c r="AB176" s="12"/>
      <c r="AC176" s="12"/>
      <c r="AG176" s="12"/>
      <c r="AH176" s="12"/>
      <c r="AK176" s="12"/>
      <c r="AL176" s="13"/>
      <c r="AM176" s="14"/>
      <c r="CK176" s="65"/>
      <c r="CL176" s="13"/>
      <c r="CO176" s="65"/>
      <c r="CP176" s="13"/>
      <c r="CS176" s="65"/>
      <c r="CT176" s="13"/>
      <c r="CW176" s="65"/>
      <c r="CX176" s="13"/>
      <c r="DA176" s="65"/>
      <c r="DB176" s="13"/>
      <c r="DE176" s="65"/>
      <c r="DF176" s="13"/>
      <c r="DI176" s="65"/>
      <c r="DJ176" s="13"/>
      <c r="DM176" s="65"/>
      <c r="DN176" s="13"/>
      <c r="DQ176" s="65"/>
      <c r="DR176" s="13"/>
      <c r="DU176" s="65"/>
      <c r="DV176" s="13"/>
      <c r="DY176" s="65"/>
      <c r="DZ176" s="13"/>
      <c r="EA176" s="14"/>
      <c r="EC176" s="65"/>
      <c r="ED176" s="13"/>
      <c r="EE176" s="14"/>
      <c r="EG176" s="65"/>
      <c r="EH176" s="13"/>
      <c r="EI176" s="14"/>
      <c r="EK176" s="65"/>
      <c r="EL176" s="13"/>
      <c r="EM176" s="14"/>
      <c r="EO176" s="65"/>
      <c r="EP176" s="13"/>
      <c r="EQ176" s="14"/>
      <c r="ES176" s="65"/>
      <c r="ET176" s="13"/>
      <c r="EU176" s="14"/>
      <c r="EW176" s="65"/>
      <c r="EX176" s="13"/>
      <c r="EY176" s="14"/>
      <c r="FA176" s="65"/>
      <c r="FB176" s="13"/>
      <c r="FC176" s="14"/>
      <c r="FE176" s="65"/>
      <c r="FF176" s="13"/>
      <c r="FG176" s="14"/>
      <c r="FI176" s="65"/>
      <c r="FJ176" s="13"/>
      <c r="FK176" s="14"/>
      <c r="FM176" s="65"/>
      <c r="FN176" s="13"/>
      <c r="FO176" s="14"/>
      <c r="FQ176" s="65"/>
      <c r="FR176" s="13"/>
      <c r="FS176" s="14"/>
      <c r="FU176" s="65"/>
      <c r="FV176" s="13"/>
      <c r="FW176" s="14"/>
      <c r="FY176" s="65"/>
      <c r="FZ176" s="13"/>
      <c r="GA176" s="14"/>
      <c r="GC176" s="65"/>
      <c r="GD176" s="13"/>
      <c r="GE176" s="14"/>
      <c r="GG176" s="65"/>
      <c r="GH176" s="13"/>
      <c r="GI176" s="14"/>
      <c r="GK176" s="65"/>
      <c r="GL176" s="13"/>
      <c r="GM176" s="14"/>
      <c r="GO176" s="65"/>
      <c r="GP176" s="13"/>
      <c r="GQ176" s="14"/>
      <c r="GS176" s="65"/>
      <c r="GT176" s="13"/>
      <c r="GU176" s="14"/>
      <c r="GW176" s="65"/>
      <c r="GX176" s="13"/>
      <c r="GY176" s="14"/>
      <c r="HA176" s="65"/>
      <c r="HB176" s="13"/>
      <c r="HC176" s="14"/>
      <c r="HE176" s="65"/>
      <c r="HF176" s="13"/>
      <c r="HG176" s="14"/>
      <c r="HI176" s="65"/>
      <c r="HJ176" s="13"/>
      <c r="HK176" s="14"/>
      <c r="HM176" s="65"/>
      <c r="HN176" s="13"/>
      <c r="HO176" s="14"/>
      <c r="HQ176" s="65"/>
      <c r="HR176" s="13"/>
      <c r="HS176" s="14"/>
      <c r="HU176" s="65"/>
      <c r="HV176" s="13"/>
      <c r="HW176" s="14"/>
      <c r="HY176" s="65"/>
      <c r="HZ176" s="13"/>
      <c r="IA176" s="14"/>
      <c r="IC176" s="65"/>
      <c r="ID176" s="13"/>
      <c r="IE176" s="14"/>
      <c r="IG176" s="65"/>
      <c r="IH176" s="13"/>
      <c r="II176" s="14"/>
      <c r="IK176" s="65"/>
      <c r="IL176" s="13"/>
      <c r="IM176" s="14"/>
      <c r="IO176" s="65"/>
      <c r="IP176" s="13"/>
      <c r="IQ176" s="14"/>
      <c r="IS176" s="65"/>
      <c r="IT176" s="13"/>
      <c r="IU176" s="14"/>
      <c r="IW176" s="65"/>
      <c r="IX176" s="13"/>
      <c r="IY176" s="14"/>
      <c r="JA176" s="65"/>
      <c r="JB176" s="13"/>
      <c r="JC176" s="14"/>
      <c r="JE176" s="65"/>
      <c r="JF176" s="13"/>
      <c r="JG176" s="14"/>
      <c r="JI176" s="65"/>
      <c r="JJ176" s="13"/>
      <c r="JK176" s="14"/>
      <c r="JM176" s="65"/>
      <c r="JN176" s="13"/>
      <c r="JO176" s="14"/>
      <c r="JQ176" s="65"/>
      <c r="JR176" s="13"/>
      <c r="JS176" s="14"/>
      <c r="JU176" s="65"/>
      <c r="JV176" s="13"/>
      <c r="JW176" s="14"/>
      <c r="JY176" s="65"/>
      <c r="JZ176" s="13"/>
      <c r="KA176" s="14"/>
      <c r="KC176" s="65"/>
      <c r="KD176" s="13"/>
      <c r="KE176" s="14"/>
      <c r="KG176" s="65"/>
      <c r="KH176" s="13"/>
      <c r="KI176" s="14"/>
      <c r="KK176" s="65"/>
      <c r="KL176" s="13"/>
      <c r="KM176" s="14"/>
      <c r="KO176" s="65"/>
      <c r="KP176" s="13"/>
      <c r="KQ176" s="14"/>
      <c r="KS176" s="65"/>
      <c r="KT176" s="13"/>
      <c r="KU176" s="14"/>
      <c r="KW176" s="65"/>
      <c r="KX176" s="13"/>
      <c r="KY176" s="14"/>
      <c r="LA176" s="65"/>
      <c r="LB176" s="13"/>
      <c r="LC176" s="14"/>
      <c r="LE176" s="65"/>
      <c r="LF176" s="13"/>
      <c r="LG176" s="14"/>
      <c r="LI176" s="65"/>
      <c r="LJ176" s="13"/>
      <c r="LK176" s="14"/>
      <c r="LM176" s="65"/>
      <c r="LN176" s="13"/>
      <c r="LO176" s="14"/>
      <c r="LQ176" s="65"/>
      <c r="LR176" s="13"/>
      <c r="LS176" s="14"/>
      <c r="LU176" s="65"/>
      <c r="LV176" s="13"/>
      <c r="LW176" s="14"/>
      <c r="LY176" s="65"/>
      <c r="LZ176" s="13"/>
      <c r="MA176" s="14"/>
      <c r="MC176" s="65"/>
      <c r="MD176" s="13"/>
      <c r="ME176" s="14"/>
      <c r="MG176" s="65"/>
      <c r="MH176" s="13"/>
      <c r="MI176" s="14"/>
      <c r="MK176" s="65"/>
      <c r="ML176" s="13"/>
      <c r="MM176" s="14"/>
      <c r="MO176" s="65"/>
      <c r="MP176" s="13"/>
      <c r="MQ176" s="14"/>
      <c r="MS176" s="65"/>
      <c r="MT176" s="13"/>
      <c r="MU176" s="14"/>
    </row>
    <row r="177" spans="1:359" hidden="1" x14ac:dyDescent="0.25">
      <c r="A177" s="15">
        <f t="shared" si="192"/>
        <v>0</v>
      </c>
      <c r="B177" s="20">
        <v>42871</v>
      </c>
      <c r="C177"/>
      <c r="D177" s="12"/>
      <c r="E177" s="12"/>
      <c r="I177" s="12"/>
      <c r="J177" s="12"/>
      <c r="N177" s="12"/>
      <c r="O177" s="12"/>
      <c r="T177" s="15"/>
      <c r="U177" s="20"/>
      <c r="V177" s="36"/>
      <c r="W177" s="12"/>
      <c r="X177" s="12"/>
      <c r="AB177" s="12"/>
      <c r="AC177" s="12"/>
      <c r="AG177" s="12"/>
      <c r="AH177" s="12"/>
      <c r="AK177" s="12"/>
      <c r="AL177" s="13"/>
      <c r="AM177" s="14"/>
      <c r="CK177" s="65"/>
      <c r="CL177" s="13"/>
      <c r="CO177" s="65"/>
      <c r="CP177" s="13"/>
      <c r="CS177" s="65"/>
      <c r="CT177" s="13"/>
      <c r="CW177" s="65"/>
      <c r="CX177" s="13"/>
      <c r="DA177" s="65"/>
      <c r="DB177" s="13"/>
      <c r="DE177" s="65"/>
      <c r="DF177" s="13"/>
      <c r="DI177" s="65"/>
      <c r="DJ177" s="13"/>
      <c r="DM177" s="65"/>
      <c r="DN177" s="13"/>
      <c r="DQ177" s="65"/>
      <c r="DR177" s="13"/>
      <c r="DU177" s="65"/>
      <c r="DV177" s="13"/>
      <c r="DY177" s="65"/>
      <c r="DZ177" s="13"/>
      <c r="EA177" s="14"/>
      <c r="EC177" s="65"/>
      <c r="ED177" s="13"/>
      <c r="EE177" s="14"/>
      <c r="EG177" s="65"/>
      <c r="EH177" s="13"/>
      <c r="EI177" s="14"/>
      <c r="EK177" s="65"/>
      <c r="EL177" s="13"/>
      <c r="EM177" s="14"/>
      <c r="EO177" s="65"/>
      <c r="EP177" s="13"/>
      <c r="EQ177" s="14"/>
      <c r="ES177" s="65"/>
      <c r="ET177" s="13"/>
      <c r="EU177" s="14"/>
      <c r="EW177" s="65"/>
      <c r="EX177" s="13"/>
      <c r="EY177" s="14"/>
      <c r="FA177" s="65"/>
      <c r="FB177" s="13"/>
      <c r="FC177" s="14"/>
      <c r="FE177" s="65"/>
      <c r="FF177" s="13"/>
      <c r="FG177" s="14"/>
      <c r="FI177" s="65"/>
      <c r="FJ177" s="13"/>
      <c r="FK177" s="14"/>
      <c r="FM177" s="65"/>
      <c r="FN177" s="13"/>
      <c r="FO177" s="14"/>
      <c r="FQ177" s="65"/>
      <c r="FR177" s="13"/>
      <c r="FS177" s="14"/>
      <c r="FU177" s="65"/>
      <c r="FV177" s="13"/>
      <c r="FW177" s="14"/>
      <c r="FY177" s="65"/>
      <c r="FZ177" s="13"/>
      <c r="GA177" s="14"/>
      <c r="GC177" s="65"/>
      <c r="GD177" s="13"/>
      <c r="GE177" s="14"/>
      <c r="GG177" s="65"/>
      <c r="GH177" s="13"/>
      <c r="GI177" s="14"/>
      <c r="GK177" s="65"/>
      <c r="GL177" s="13"/>
      <c r="GM177" s="14"/>
      <c r="GO177" s="65"/>
      <c r="GP177" s="13"/>
      <c r="GQ177" s="14"/>
      <c r="GS177" s="65"/>
      <c r="GT177" s="13"/>
      <c r="GU177" s="14"/>
      <c r="GW177" s="65"/>
      <c r="GX177" s="13"/>
      <c r="GY177" s="14"/>
      <c r="HA177" s="65"/>
      <c r="HB177" s="13"/>
      <c r="HC177" s="14"/>
      <c r="HE177" s="65"/>
      <c r="HF177" s="13"/>
      <c r="HG177" s="14"/>
      <c r="HI177" s="65"/>
      <c r="HJ177" s="13"/>
      <c r="HK177" s="14"/>
      <c r="HM177" s="65"/>
      <c r="HN177" s="13"/>
      <c r="HO177" s="14"/>
      <c r="HQ177" s="65"/>
      <c r="HR177" s="13"/>
      <c r="HS177" s="14"/>
      <c r="HU177" s="65"/>
      <c r="HV177" s="13"/>
      <c r="HW177" s="14"/>
      <c r="HY177" s="65"/>
      <c r="HZ177" s="13"/>
      <c r="IA177" s="14"/>
      <c r="IC177" s="65"/>
      <c r="ID177" s="13"/>
      <c r="IE177" s="14"/>
      <c r="IG177" s="65"/>
      <c r="IH177" s="13"/>
      <c r="II177" s="14"/>
      <c r="IK177" s="65"/>
      <c r="IL177" s="13"/>
      <c r="IM177" s="14"/>
      <c r="IO177" s="65"/>
      <c r="IP177" s="13"/>
      <c r="IQ177" s="14"/>
      <c r="IS177" s="65"/>
      <c r="IT177" s="13"/>
      <c r="IU177" s="14"/>
      <c r="IW177" s="65"/>
      <c r="IX177" s="13"/>
      <c r="IY177" s="14"/>
      <c r="JA177" s="65"/>
      <c r="JB177" s="13"/>
      <c r="JC177" s="14"/>
      <c r="JE177" s="65"/>
      <c r="JF177" s="13"/>
      <c r="JG177" s="14"/>
      <c r="JI177" s="65"/>
      <c r="JJ177" s="13"/>
      <c r="JK177" s="14"/>
      <c r="JM177" s="65"/>
      <c r="JN177" s="13"/>
      <c r="JO177" s="14"/>
      <c r="JQ177" s="65"/>
      <c r="JR177" s="13"/>
      <c r="JS177" s="14"/>
      <c r="JU177" s="65"/>
      <c r="JV177" s="13"/>
      <c r="JW177" s="14"/>
      <c r="JY177" s="65"/>
      <c r="JZ177" s="13"/>
      <c r="KA177" s="14"/>
      <c r="KC177" s="65"/>
      <c r="KD177" s="13"/>
      <c r="KE177" s="14"/>
      <c r="KG177" s="65"/>
      <c r="KH177" s="13"/>
      <c r="KI177" s="14"/>
      <c r="KK177" s="65"/>
      <c r="KL177" s="13"/>
      <c r="KM177" s="14"/>
      <c r="KO177" s="65"/>
      <c r="KP177" s="13"/>
      <c r="KQ177" s="14"/>
      <c r="KS177" s="65"/>
      <c r="KT177" s="13"/>
      <c r="KU177" s="14"/>
      <c r="KW177" s="65"/>
      <c r="KX177" s="13"/>
      <c r="KY177" s="14"/>
      <c r="LA177" s="65"/>
      <c r="LB177" s="13"/>
      <c r="LC177" s="14"/>
      <c r="LE177" s="65"/>
      <c r="LF177" s="13"/>
      <c r="LG177" s="14"/>
      <c r="LI177" s="65"/>
      <c r="LJ177" s="13"/>
      <c r="LK177" s="14"/>
      <c r="LM177" s="65"/>
      <c r="LN177" s="13"/>
      <c r="LO177" s="14"/>
      <c r="LQ177" s="65"/>
      <c r="LR177" s="13"/>
      <c r="LS177" s="14"/>
      <c r="LU177" s="65"/>
      <c r="LV177" s="13"/>
      <c r="LW177" s="14"/>
      <c r="LY177" s="65"/>
      <c r="LZ177" s="13"/>
      <c r="MA177" s="14"/>
      <c r="MC177" s="65"/>
      <c r="MD177" s="13"/>
      <c r="ME177" s="14"/>
      <c r="MG177" s="65"/>
      <c r="MH177" s="13"/>
      <c r="MI177" s="14"/>
      <c r="MK177" s="65"/>
      <c r="ML177" s="13"/>
      <c r="MM177" s="14"/>
      <c r="MO177" s="65"/>
      <c r="MP177" s="13"/>
      <c r="MQ177" s="14"/>
      <c r="MS177" s="65"/>
      <c r="MT177" s="13"/>
      <c r="MU177" s="14"/>
    </row>
    <row r="178" spans="1:359" hidden="1" x14ac:dyDescent="0.25">
      <c r="A178" s="15">
        <f t="shared" si="192"/>
        <v>0</v>
      </c>
      <c r="B178" s="20">
        <v>42872</v>
      </c>
      <c r="C178"/>
      <c r="D178" s="12"/>
      <c r="E178" s="12"/>
      <c r="I178" s="12"/>
      <c r="J178" s="12"/>
      <c r="N178" s="12"/>
      <c r="O178" s="12"/>
      <c r="T178" s="15"/>
      <c r="U178" s="20"/>
      <c r="V178" s="36"/>
      <c r="W178" s="12"/>
      <c r="X178" s="12"/>
      <c r="AB178" s="12"/>
      <c r="AC178" s="12"/>
      <c r="AG178" s="12"/>
      <c r="AH178" s="12"/>
      <c r="AK178" s="12"/>
      <c r="AL178" s="13"/>
      <c r="AM178" s="14"/>
      <c r="CK178" s="65"/>
      <c r="CL178" s="13"/>
      <c r="CO178" s="65"/>
      <c r="CP178" s="13"/>
      <c r="CS178" s="65"/>
      <c r="CT178" s="13"/>
      <c r="CW178" s="65"/>
      <c r="CX178" s="13"/>
      <c r="DA178" s="65"/>
      <c r="DB178" s="13"/>
      <c r="DE178" s="65"/>
      <c r="DF178" s="13"/>
      <c r="DI178" s="65"/>
      <c r="DJ178" s="13"/>
      <c r="DM178" s="65"/>
      <c r="DN178" s="13"/>
      <c r="DQ178" s="65"/>
      <c r="DR178" s="13"/>
      <c r="DU178" s="65"/>
      <c r="DV178" s="13"/>
      <c r="DY178" s="65"/>
      <c r="DZ178" s="13"/>
      <c r="EA178" s="14"/>
      <c r="EC178" s="65"/>
      <c r="ED178" s="13"/>
      <c r="EE178" s="14"/>
      <c r="EG178" s="65"/>
      <c r="EH178" s="13"/>
      <c r="EI178" s="14"/>
      <c r="EK178" s="65"/>
      <c r="EL178" s="13"/>
      <c r="EM178" s="14"/>
      <c r="EO178" s="65"/>
      <c r="EP178" s="13"/>
      <c r="EQ178" s="14"/>
      <c r="ES178" s="65"/>
      <c r="ET178" s="13"/>
      <c r="EU178" s="14"/>
      <c r="EW178" s="65"/>
      <c r="EX178" s="13"/>
      <c r="EY178" s="14"/>
      <c r="FA178" s="65"/>
      <c r="FB178" s="13"/>
      <c r="FC178" s="14"/>
      <c r="FE178" s="65"/>
      <c r="FF178" s="13"/>
      <c r="FG178" s="14"/>
      <c r="FI178" s="65"/>
      <c r="FJ178" s="13"/>
      <c r="FK178" s="14"/>
      <c r="FM178" s="65"/>
      <c r="FN178" s="13"/>
      <c r="FO178" s="14"/>
      <c r="FQ178" s="65"/>
      <c r="FR178" s="13"/>
      <c r="FS178" s="14"/>
      <c r="FU178" s="65"/>
      <c r="FV178" s="13"/>
      <c r="FW178" s="14"/>
      <c r="FY178" s="65"/>
      <c r="FZ178" s="13"/>
      <c r="GA178" s="14"/>
      <c r="GC178" s="65"/>
      <c r="GD178" s="13"/>
      <c r="GE178" s="14"/>
      <c r="GG178" s="65"/>
      <c r="GH178" s="13"/>
      <c r="GI178" s="14"/>
      <c r="GK178" s="65"/>
      <c r="GL178" s="13"/>
      <c r="GM178" s="14"/>
      <c r="GO178" s="65"/>
      <c r="GP178" s="13"/>
      <c r="GQ178" s="14"/>
      <c r="GS178" s="65"/>
      <c r="GT178" s="13"/>
      <c r="GU178" s="14"/>
      <c r="GW178" s="65"/>
      <c r="GX178" s="13"/>
      <c r="GY178" s="14"/>
      <c r="HA178" s="65"/>
      <c r="HB178" s="13"/>
      <c r="HC178" s="14"/>
      <c r="HE178" s="65"/>
      <c r="HF178" s="13"/>
      <c r="HG178" s="14"/>
      <c r="HI178" s="65"/>
      <c r="HJ178" s="13"/>
      <c r="HK178" s="14"/>
      <c r="HM178" s="65"/>
      <c r="HN178" s="13"/>
      <c r="HO178" s="14"/>
      <c r="HQ178" s="65"/>
      <c r="HR178" s="13"/>
      <c r="HS178" s="14"/>
      <c r="HU178" s="65"/>
      <c r="HV178" s="13"/>
      <c r="HW178" s="14"/>
      <c r="HY178" s="65"/>
      <c r="HZ178" s="13"/>
      <c r="IA178" s="14"/>
      <c r="IC178" s="65"/>
      <c r="ID178" s="13"/>
      <c r="IE178" s="14"/>
      <c r="IG178" s="65"/>
      <c r="IH178" s="13"/>
      <c r="II178" s="14"/>
      <c r="IK178" s="65"/>
      <c r="IL178" s="13"/>
      <c r="IM178" s="14"/>
      <c r="IO178" s="65"/>
      <c r="IP178" s="13"/>
      <c r="IQ178" s="14"/>
      <c r="IS178" s="65"/>
      <c r="IT178" s="13"/>
      <c r="IU178" s="14"/>
      <c r="IW178" s="65"/>
      <c r="IX178" s="13"/>
      <c r="IY178" s="14"/>
      <c r="JA178" s="65"/>
      <c r="JB178" s="13"/>
      <c r="JC178" s="14"/>
      <c r="JE178" s="65"/>
      <c r="JF178" s="13"/>
      <c r="JG178" s="14"/>
      <c r="JI178" s="65"/>
      <c r="JJ178" s="13"/>
      <c r="JK178" s="14"/>
      <c r="JM178" s="65"/>
      <c r="JN178" s="13"/>
      <c r="JO178" s="14"/>
      <c r="JQ178" s="65"/>
      <c r="JR178" s="13"/>
      <c r="JS178" s="14"/>
      <c r="JU178" s="65"/>
      <c r="JV178" s="13"/>
      <c r="JW178" s="14"/>
      <c r="JY178" s="65"/>
      <c r="JZ178" s="13"/>
      <c r="KA178" s="14"/>
      <c r="KC178" s="65"/>
      <c r="KD178" s="13"/>
      <c r="KE178" s="14"/>
      <c r="KG178" s="65"/>
      <c r="KH178" s="13"/>
      <c r="KI178" s="14"/>
      <c r="KK178" s="65"/>
      <c r="KL178" s="13"/>
      <c r="KM178" s="14"/>
      <c r="KO178" s="65"/>
      <c r="KP178" s="13"/>
      <c r="KQ178" s="14"/>
      <c r="KS178" s="65"/>
      <c r="KT178" s="13"/>
      <c r="KU178" s="14"/>
      <c r="KW178" s="65"/>
      <c r="KX178" s="13"/>
      <c r="KY178" s="14"/>
      <c r="LA178" s="65"/>
      <c r="LB178" s="13"/>
      <c r="LC178" s="14"/>
      <c r="LE178" s="65"/>
      <c r="LF178" s="13"/>
      <c r="LG178" s="14"/>
      <c r="LI178" s="65"/>
      <c r="LJ178" s="13"/>
      <c r="LK178" s="14"/>
      <c r="LM178" s="65"/>
      <c r="LN178" s="13"/>
      <c r="LO178" s="14"/>
      <c r="LQ178" s="65"/>
      <c r="LR178" s="13"/>
      <c r="LS178" s="14"/>
      <c r="LU178" s="65"/>
      <c r="LV178" s="13"/>
      <c r="LW178" s="14"/>
      <c r="LY178" s="65"/>
      <c r="LZ178" s="13"/>
      <c r="MA178" s="14"/>
      <c r="MC178" s="65"/>
      <c r="MD178" s="13"/>
      <c r="ME178" s="14"/>
      <c r="MG178" s="65"/>
      <c r="MH178" s="13"/>
      <c r="MI178" s="14"/>
      <c r="MK178" s="65"/>
      <c r="ML178" s="13"/>
      <c r="MM178" s="14"/>
      <c r="MO178" s="65"/>
      <c r="MP178" s="13"/>
      <c r="MQ178" s="14"/>
      <c r="MS178" s="65"/>
      <c r="MT178" s="13"/>
      <c r="MU178" s="14"/>
    </row>
    <row r="179" spans="1:359" hidden="1" x14ac:dyDescent="0.25">
      <c r="A179" s="15">
        <f t="shared" si="192"/>
        <v>0</v>
      </c>
      <c r="B179" s="20">
        <v>42873</v>
      </c>
      <c r="C179"/>
      <c r="D179" s="12"/>
      <c r="E179" s="12"/>
      <c r="I179" s="12"/>
      <c r="J179" s="12"/>
      <c r="N179" s="12"/>
      <c r="O179" s="12"/>
      <c r="T179" s="15"/>
      <c r="U179" s="20"/>
      <c r="V179" s="36"/>
      <c r="W179" s="12"/>
      <c r="X179" s="12"/>
      <c r="AB179" s="12"/>
      <c r="AC179" s="12"/>
      <c r="AG179" s="12"/>
      <c r="AH179" s="12"/>
      <c r="AK179" s="12"/>
      <c r="AL179" s="13"/>
      <c r="AM179" s="14"/>
      <c r="CK179" s="65"/>
      <c r="CL179" s="13"/>
      <c r="CO179" s="65"/>
      <c r="CP179" s="13"/>
      <c r="CS179" s="65"/>
      <c r="CT179" s="13"/>
      <c r="CW179" s="65"/>
      <c r="CX179" s="13"/>
      <c r="DA179" s="65"/>
      <c r="DB179" s="13"/>
      <c r="DE179" s="65"/>
      <c r="DF179" s="13"/>
      <c r="DI179" s="65"/>
      <c r="DJ179" s="13"/>
      <c r="DM179" s="65"/>
      <c r="DN179" s="13"/>
      <c r="DQ179" s="65"/>
      <c r="DR179" s="13"/>
      <c r="DU179" s="65"/>
      <c r="DV179" s="13"/>
      <c r="DY179" s="65"/>
      <c r="DZ179" s="13"/>
      <c r="EA179" s="14"/>
      <c r="EC179" s="65"/>
      <c r="ED179" s="13"/>
      <c r="EE179" s="14"/>
      <c r="EG179" s="65"/>
      <c r="EH179" s="13"/>
      <c r="EI179" s="14"/>
      <c r="EK179" s="65"/>
      <c r="EL179" s="13"/>
      <c r="EM179" s="14"/>
      <c r="EO179" s="65"/>
      <c r="EP179" s="13"/>
      <c r="EQ179" s="14"/>
      <c r="ES179" s="65"/>
      <c r="ET179" s="13"/>
      <c r="EU179" s="14"/>
      <c r="EW179" s="65"/>
      <c r="EX179" s="13"/>
      <c r="EY179" s="14"/>
      <c r="FA179" s="65"/>
      <c r="FB179" s="13"/>
      <c r="FC179" s="14"/>
      <c r="FE179" s="65"/>
      <c r="FF179" s="13"/>
      <c r="FG179" s="14"/>
      <c r="FI179" s="65"/>
      <c r="FJ179" s="13"/>
      <c r="FK179" s="14"/>
      <c r="FM179" s="65"/>
      <c r="FN179" s="13"/>
      <c r="FO179" s="14"/>
      <c r="FQ179" s="65"/>
      <c r="FR179" s="13"/>
      <c r="FS179" s="14"/>
      <c r="FU179" s="65"/>
      <c r="FV179" s="13"/>
      <c r="FW179" s="14"/>
      <c r="FY179" s="65"/>
      <c r="FZ179" s="13"/>
      <c r="GA179" s="14"/>
      <c r="GC179" s="65"/>
      <c r="GD179" s="13"/>
      <c r="GE179" s="14"/>
      <c r="GG179" s="65"/>
      <c r="GH179" s="13"/>
      <c r="GI179" s="14"/>
      <c r="GK179" s="65"/>
      <c r="GL179" s="13"/>
      <c r="GM179" s="14"/>
      <c r="GO179" s="65"/>
      <c r="GP179" s="13"/>
      <c r="GQ179" s="14"/>
      <c r="GS179" s="65"/>
      <c r="GT179" s="13"/>
      <c r="GU179" s="14"/>
      <c r="GW179" s="65"/>
      <c r="GX179" s="13"/>
      <c r="GY179" s="14"/>
      <c r="HA179" s="65"/>
      <c r="HB179" s="13"/>
      <c r="HC179" s="14"/>
      <c r="HE179" s="65"/>
      <c r="HF179" s="13"/>
      <c r="HG179" s="14"/>
      <c r="HI179" s="65"/>
      <c r="HJ179" s="13"/>
      <c r="HK179" s="14"/>
      <c r="HM179" s="65"/>
      <c r="HN179" s="13"/>
      <c r="HO179" s="14"/>
      <c r="HQ179" s="65"/>
      <c r="HR179" s="13"/>
      <c r="HS179" s="14"/>
      <c r="HU179" s="65"/>
      <c r="HV179" s="13"/>
      <c r="HW179" s="14"/>
      <c r="HY179" s="65"/>
      <c r="HZ179" s="13"/>
      <c r="IA179" s="14"/>
      <c r="IC179" s="65"/>
      <c r="ID179" s="13"/>
      <c r="IE179" s="14"/>
      <c r="IG179" s="65"/>
      <c r="IH179" s="13"/>
      <c r="II179" s="14"/>
      <c r="IK179" s="65"/>
      <c r="IL179" s="13"/>
      <c r="IM179" s="14"/>
      <c r="IO179" s="65"/>
      <c r="IP179" s="13"/>
      <c r="IQ179" s="14"/>
      <c r="IS179" s="65"/>
      <c r="IT179" s="13"/>
      <c r="IU179" s="14"/>
      <c r="IW179" s="65"/>
      <c r="IX179" s="13"/>
      <c r="IY179" s="14"/>
      <c r="JA179" s="65"/>
      <c r="JB179" s="13"/>
      <c r="JC179" s="14"/>
      <c r="JE179" s="65"/>
      <c r="JF179" s="13"/>
      <c r="JG179" s="14"/>
      <c r="JI179" s="65"/>
      <c r="JJ179" s="13"/>
      <c r="JK179" s="14"/>
      <c r="JM179" s="65"/>
      <c r="JN179" s="13"/>
      <c r="JO179" s="14"/>
      <c r="JQ179" s="65"/>
      <c r="JR179" s="13"/>
      <c r="JS179" s="14"/>
      <c r="JU179" s="65"/>
      <c r="JV179" s="13"/>
      <c r="JW179" s="14"/>
      <c r="JY179" s="65"/>
      <c r="JZ179" s="13"/>
      <c r="KA179" s="14"/>
      <c r="KC179" s="65"/>
      <c r="KD179" s="13"/>
      <c r="KE179" s="14"/>
      <c r="KG179" s="65"/>
      <c r="KH179" s="13"/>
      <c r="KI179" s="14"/>
      <c r="KK179" s="65"/>
      <c r="KL179" s="13"/>
      <c r="KM179" s="14"/>
      <c r="KO179" s="65"/>
      <c r="KP179" s="13"/>
      <c r="KQ179" s="14"/>
      <c r="KS179" s="65"/>
      <c r="KT179" s="13"/>
      <c r="KU179" s="14"/>
      <c r="KW179" s="65"/>
      <c r="KX179" s="13"/>
      <c r="KY179" s="14"/>
      <c r="LA179" s="65"/>
      <c r="LB179" s="13"/>
      <c r="LC179" s="14"/>
      <c r="LE179" s="65"/>
      <c r="LF179" s="13"/>
      <c r="LG179" s="14"/>
      <c r="LI179" s="65"/>
      <c r="LJ179" s="13"/>
      <c r="LK179" s="14"/>
      <c r="LM179" s="65"/>
      <c r="LN179" s="13"/>
      <c r="LO179" s="14"/>
      <c r="LQ179" s="65"/>
      <c r="LR179" s="13"/>
      <c r="LS179" s="14"/>
      <c r="LU179" s="65"/>
      <c r="LV179" s="13"/>
      <c r="LW179" s="14"/>
      <c r="LY179" s="65"/>
      <c r="LZ179" s="13"/>
      <c r="MA179" s="14"/>
      <c r="MC179" s="65"/>
      <c r="MD179" s="13"/>
      <c r="ME179" s="14"/>
      <c r="MG179" s="65"/>
      <c r="MH179" s="13"/>
      <c r="MI179" s="14"/>
      <c r="MK179" s="65"/>
      <c r="ML179" s="13"/>
      <c r="MM179" s="14"/>
      <c r="MO179" s="65"/>
      <c r="MP179" s="13"/>
      <c r="MQ179" s="14"/>
      <c r="MS179" s="65"/>
      <c r="MT179" s="13"/>
      <c r="MU179" s="14"/>
    </row>
    <row r="180" spans="1:359" hidden="1" x14ac:dyDescent="0.25">
      <c r="A180" s="15">
        <f t="shared" si="192"/>
        <v>0</v>
      </c>
      <c r="B180" s="20">
        <v>42874</v>
      </c>
      <c r="C180"/>
      <c r="D180" s="12"/>
      <c r="E180" s="12"/>
      <c r="I180" s="12"/>
      <c r="J180" s="12"/>
      <c r="N180" s="12"/>
      <c r="O180" s="12"/>
      <c r="T180" s="15"/>
      <c r="U180" s="20"/>
      <c r="V180" s="36"/>
      <c r="W180" s="12"/>
      <c r="X180" s="12"/>
      <c r="AB180" s="12"/>
      <c r="AC180" s="12"/>
      <c r="AG180" s="12"/>
      <c r="AH180" s="12"/>
      <c r="AK180" s="12"/>
      <c r="AL180" s="13"/>
      <c r="AM180" s="14"/>
      <c r="CK180" s="65"/>
      <c r="CL180" s="13"/>
      <c r="CO180" s="65"/>
      <c r="CP180" s="13"/>
      <c r="CS180" s="65"/>
      <c r="CT180" s="13"/>
      <c r="CW180" s="65"/>
      <c r="CX180" s="13"/>
      <c r="DA180" s="65"/>
      <c r="DB180" s="13"/>
      <c r="DE180" s="65"/>
      <c r="DF180" s="13"/>
      <c r="DI180" s="65"/>
      <c r="DJ180" s="13"/>
      <c r="DM180" s="65"/>
      <c r="DN180" s="13"/>
      <c r="DQ180" s="65"/>
      <c r="DR180" s="13"/>
      <c r="DU180" s="65"/>
      <c r="DV180" s="13"/>
      <c r="DY180" s="65"/>
      <c r="DZ180" s="13"/>
      <c r="EA180" s="14"/>
      <c r="EC180" s="65"/>
      <c r="ED180" s="13"/>
      <c r="EE180" s="14"/>
      <c r="EG180" s="65"/>
      <c r="EH180" s="13"/>
      <c r="EI180" s="14"/>
      <c r="EK180" s="65"/>
      <c r="EL180" s="13"/>
      <c r="EM180" s="14"/>
      <c r="EO180" s="65"/>
      <c r="EP180" s="13"/>
      <c r="EQ180" s="14"/>
      <c r="ES180" s="65"/>
      <c r="ET180" s="13"/>
      <c r="EU180" s="14"/>
      <c r="EW180" s="65"/>
      <c r="EX180" s="13"/>
      <c r="EY180" s="14"/>
      <c r="FA180" s="65"/>
      <c r="FB180" s="13"/>
      <c r="FC180" s="14"/>
      <c r="FE180" s="65"/>
      <c r="FF180" s="13"/>
      <c r="FG180" s="14"/>
      <c r="FI180" s="65"/>
      <c r="FJ180" s="13"/>
      <c r="FK180" s="14"/>
      <c r="FM180" s="65"/>
      <c r="FN180" s="13"/>
      <c r="FO180" s="14"/>
      <c r="FQ180" s="65"/>
      <c r="FR180" s="13"/>
      <c r="FS180" s="14"/>
      <c r="FU180" s="65"/>
      <c r="FV180" s="13"/>
      <c r="FW180" s="14"/>
      <c r="FY180" s="65"/>
      <c r="FZ180" s="13"/>
      <c r="GA180" s="14"/>
      <c r="GC180" s="65"/>
      <c r="GD180" s="13"/>
      <c r="GE180" s="14"/>
      <c r="GG180" s="65"/>
      <c r="GH180" s="13"/>
      <c r="GI180" s="14"/>
      <c r="GK180" s="65"/>
      <c r="GL180" s="13"/>
      <c r="GM180" s="14"/>
      <c r="GO180" s="65"/>
      <c r="GP180" s="13"/>
      <c r="GQ180" s="14"/>
      <c r="GS180" s="65"/>
      <c r="GT180" s="13"/>
      <c r="GU180" s="14"/>
      <c r="GW180" s="65"/>
      <c r="GX180" s="13"/>
      <c r="GY180" s="14"/>
      <c r="HA180" s="65"/>
      <c r="HB180" s="13"/>
      <c r="HC180" s="14"/>
      <c r="HE180" s="65"/>
      <c r="HF180" s="13"/>
      <c r="HG180" s="14"/>
      <c r="HI180" s="65"/>
      <c r="HJ180" s="13"/>
      <c r="HK180" s="14"/>
      <c r="HM180" s="65"/>
      <c r="HN180" s="13"/>
      <c r="HO180" s="14"/>
      <c r="HQ180" s="65"/>
      <c r="HR180" s="13"/>
      <c r="HS180" s="14"/>
      <c r="HU180" s="65"/>
      <c r="HV180" s="13"/>
      <c r="HW180" s="14"/>
      <c r="HY180" s="65"/>
      <c r="HZ180" s="13"/>
      <c r="IA180" s="14"/>
      <c r="IC180" s="65"/>
      <c r="ID180" s="13"/>
      <c r="IE180" s="14"/>
      <c r="IG180" s="65"/>
      <c r="IH180" s="13"/>
      <c r="II180" s="14"/>
      <c r="IK180" s="65"/>
      <c r="IL180" s="13"/>
      <c r="IM180" s="14"/>
      <c r="IO180" s="65"/>
      <c r="IP180" s="13"/>
      <c r="IQ180" s="14"/>
      <c r="IS180" s="65"/>
      <c r="IT180" s="13"/>
      <c r="IU180" s="14"/>
      <c r="IW180" s="65"/>
      <c r="IX180" s="13"/>
      <c r="IY180" s="14"/>
      <c r="JA180" s="65"/>
      <c r="JB180" s="13"/>
      <c r="JC180" s="14"/>
      <c r="JE180" s="65"/>
      <c r="JF180" s="13"/>
      <c r="JG180" s="14"/>
      <c r="JI180" s="65"/>
      <c r="JJ180" s="13"/>
      <c r="JK180" s="14"/>
      <c r="JM180" s="65"/>
      <c r="JN180" s="13"/>
      <c r="JO180" s="14"/>
      <c r="JQ180" s="65"/>
      <c r="JR180" s="13"/>
      <c r="JS180" s="14"/>
      <c r="JU180" s="65"/>
      <c r="JV180" s="13"/>
      <c r="JW180" s="14"/>
      <c r="JY180" s="65"/>
      <c r="JZ180" s="13"/>
      <c r="KA180" s="14"/>
      <c r="KC180" s="65"/>
      <c r="KD180" s="13"/>
      <c r="KE180" s="14"/>
      <c r="KG180" s="65"/>
      <c r="KH180" s="13"/>
      <c r="KI180" s="14"/>
      <c r="KK180" s="65"/>
      <c r="KL180" s="13"/>
      <c r="KM180" s="14"/>
      <c r="KO180" s="65"/>
      <c r="KP180" s="13"/>
      <c r="KQ180" s="14"/>
      <c r="KS180" s="65"/>
      <c r="KT180" s="13"/>
      <c r="KU180" s="14"/>
      <c r="KW180" s="65"/>
      <c r="KX180" s="13"/>
      <c r="KY180" s="14"/>
      <c r="LA180" s="65"/>
      <c r="LB180" s="13"/>
      <c r="LC180" s="14"/>
      <c r="LE180" s="65"/>
      <c r="LF180" s="13"/>
      <c r="LG180" s="14"/>
      <c r="LI180" s="65"/>
      <c r="LJ180" s="13"/>
      <c r="LK180" s="14"/>
      <c r="LM180" s="65"/>
      <c r="LN180" s="13"/>
      <c r="LO180" s="14"/>
      <c r="LQ180" s="65"/>
      <c r="LR180" s="13"/>
      <c r="LS180" s="14"/>
      <c r="LU180" s="65"/>
      <c r="LV180" s="13"/>
      <c r="LW180" s="14"/>
      <c r="LY180" s="65"/>
      <c r="LZ180" s="13"/>
      <c r="MA180" s="14"/>
      <c r="MC180" s="65"/>
      <c r="MD180" s="13"/>
      <c r="ME180" s="14"/>
      <c r="MG180" s="65"/>
      <c r="MH180" s="13"/>
      <c r="MI180" s="14"/>
      <c r="MK180" s="65"/>
      <c r="ML180" s="13"/>
      <c r="MM180" s="14"/>
      <c r="MO180" s="65"/>
      <c r="MP180" s="13"/>
      <c r="MQ180" s="14"/>
      <c r="MS180" s="65"/>
      <c r="MT180" s="13"/>
      <c r="MU180" s="14"/>
    </row>
    <row r="181" spans="1:359" hidden="1" x14ac:dyDescent="0.25">
      <c r="A181" s="15">
        <f t="shared" si="192"/>
        <v>0</v>
      </c>
      <c r="B181" s="20">
        <v>42875</v>
      </c>
      <c r="C181"/>
      <c r="D181" s="12"/>
      <c r="E181" s="12"/>
      <c r="I181" s="12"/>
      <c r="J181" s="12"/>
      <c r="N181" s="12"/>
      <c r="O181" s="12"/>
      <c r="T181" s="15"/>
      <c r="U181" s="20"/>
      <c r="V181" s="36"/>
      <c r="W181" s="12"/>
      <c r="X181" s="12"/>
      <c r="AB181" s="12"/>
      <c r="AC181" s="12"/>
      <c r="AG181" s="12"/>
      <c r="AH181" s="12"/>
      <c r="AK181" s="12"/>
      <c r="AL181" s="13"/>
      <c r="AM181" s="14"/>
      <c r="CK181" s="65"/>
      <c r="CL181" s="13"/>
      <c r="CO181" s="65"/>
      <c r="CP181" s="13"/>
      <c r="CS181" s="65"/>
      <c r="CT181" s="13"/>
      <c r="CW181" s="65"/>
      <c r="CX181" s="13"/>
      <c r="DA181" s="65"/>
      <c r="DB181" s="13"/>
      <c r="DE181" s="65"/>
      <c r="DF181" s="13"/>
      <c r="DI181" s="65"/>
      <c r="DJ181" s="13"/>
      <c r="DM181" s="65"/>
      <c r="DN181" s="13"/>
      <c r="DQ181" s="65"/>
      <c r="DR181" s="13"/>
      <c r="DU181" s="65"/>
      <c r="DV181" s="13"/>
      <c r="DY181" s="65"/>
      <c r="DZ181" s="13"/>
      <c r="EA181" s="14"/>
      <c r="EC181" s="65"/>
      <c r="ED181" s="13"/>
      <c r="EE181" s="14"/>
      <c r="EG181" s="65"/>
      <c r="EH181" s="13"/>
      <c r="EI181" s="14"/>
      <c r="EK181" s="65"/>
      <c r="EL181" s="13"/>
      <c r="EM181" s="14"/>
      <c r="EO181" s="65"/>
      <c r="EP181" s="13"/>
      <c r="EQ181" s="14"/>
      <c r="ES181" s="65"/>
      <c r="ET181" s="13"/>
      <c r="EU181" s="14"/>
      <c r="EW181" s="65"/>
      <c r="EX181" s="13"/>
      <c r="EY181" s="14"/>
      <c r="FA181" s="65"/>
      <c r="FB181" s="13"/>
      <c r="FC181" s="14"/>
      <c r="FE181" s="65"/>
      <c r="FF181" s="13"/>
      <c r="FG181" s="14"/>
      <c r="FI181" s="65"/>
      <c r="FJ181" s="13"/>
      <c r="FK181" s="14"/>
      <c r="FM181" s="65"/>
      <c r="FN181" s="13"/>
      <c r="FO181" s="14"/>
      <c r="FQ181" s="65"/>
      <c r="FR181" s="13"/>
      <c r="FS181" s="14"/>
      <c r="FU181" s="65"/>
      <c r="FV181" s="13"/>
      <c r="FW181" s="14"/>
      <c r="FY181" s="65"/>
      <c r="FZ181" s="13"/>
      <c r="GA181" s="14"/>
      <c r="GC181" s="65"/>
      <c r="GD181" s="13"/>
      <c r="GE181" s="14"/>
      <c r="GG181" s="65"/>
      <c r="GH181" s="13"/>
      <c r="GI181" s="14"/>
      <c r="GK181" s="65"/>
      <c r="GL181" s="13"/>
      <c r="GM181" s="14"/>
      <c r="GO181" s="65"/>
      <c r="GP181" s="13"/>
      <c r="GQ181" s="14"/>
      <c r="GS181" s="65"/>
      <c r="GT181" s="13"/>
      <c r="GU181" s="14"/>
      <c r="GW181" s="65"/>
      <c r="GX181" s="13"/>
      <c r="GY181" s="14"/>
      <c r="HA181" s="65"/>
      <c r="HB181" s="13"/>
      <c r="HC181" s="14"/>
      <c r="HE181" s="65"/>
      <c r="HF181" s="13"/>
      <c r="HG181" s="14"/>
      <c r="HI181" s="65"/>
      <c r="HJ181" s="13"/>
      <c r="HK181" s="14"/>
      <c r="HM181" s="65"/>
      <c r="HN181" s="13"/>
      <c r="HO181" s="14"/>
      <c r="HQ181" s="65"/>
      <c r="HR181" s="13"/>
      <c r="HS181" s="14"/>
      <c r="HU181" s="65"/>
      <c r="HV181" s="13"/>
      <c r="HW181" s="14"/>
      <c r="HY181" s="65"/>
      <c r="HZ181" s="13"/>
      <c r="IA181" s="14"/>
      <c r="IC181" s="65"/>
      <c r="ID181" s="13"/>
      <c r="IE181" s="14"/>
      <c r="IG181" s="65"/>
      <c r="IH181" s="13"/>
      <c r="II181" s="14"/>
      <c r="IK181" s="65"/>
      <c r="IL181" s="13"/>
      <c r="IM181" s="14"/>
      <c r="IO181" s="65"/>
      <c r="IP181" s="13"/>
      <c r="IQ181" s="14"/>
      <c r="IS181" s="65"/>
      <c r="IT181" s="13"/>
      <c r="IU181" s="14"/>
      <c r="IW181" s="65"/>
      <c r="IX181" s="13"/>
      <c r="IY181" s="14"/>
      <c r="JA181" s="65"/>
      <c r="JB181" s="13"/>
      <c r="JC181" s="14"/>
      <c r="JE181" s="65"/>
      <c r="JF181" s="13"/>
      <c r="JG181" s="14"/>
      <c r="JI181" s="65"/>
      <c r="JJ181" s="13"/>
      <c r="JK181" s="14"/>
      <c r="JM181" s="65"/>
      <c r="JN181" s="13"/>
      <c r="JO181" s="14"/>
      <c r="JQ181" s="65"/>
      <c r="JR181" s="13"/>
      <c r="JS181" s="14"/>
      <c r="JU181" s="65"/>
      <c r="JV181" s="13"/>
      <c r="JW181" s="14"/>
      <c r="JY181" s="65"/>
      <c r="JZ181" s="13"/>
      <c r="KA181" s="14"/>
      <c r="KC181" s="65"/>
      <c r="KD181" s="13"/>
      <c r="KE181" s="14"/>
      <c r="KG181" s="65"/>
      <c r="KH181" s="13"/>
      <c r="KI181" s="14"/>
      <c r="KK181" s="65"/>
      <c r="KL181" s="13"/>
      <c r="KM181" s="14"/>
      <c r="KO181" s="65"/>
      <c r="KP181" s="13"/>
      <c r="KQ181" s="14"/>
      <c r="KS181" s="65"/>
      <c r="KT181" s="13"/>
      <c r="KU181" s="14"/>
      <c r="KW181" s="65"/>
      <c r="KX181" s="13"/>
      <c r="KY181" s="14"/>
      <c r="LA181" s="65"/>
      <c r="LB181" s="13"/>
      <c r="LC181" s="14"/>
      <c r="LE181" s="65"/>
      <c r="LF181" s="13"/>
      <c r="LG181" s="14"/>
      <c r="LI181" s="65"/>
      <c r="LJ181" s="13"/>
      <c r="LK181" s="14"/>
      <c r="LM181" s="65"/>
      <c r="LN181" s="13"/>
      <c r="LO181" s="14"/>
      <c r="LQ181" s="65"/>
      <c r="LR181" s="13"/>
      <c r="LS181" s="14"/>
      <c r="LU181" s="65"/>
      <c r="LV181" s="13"/>
      <c r="LW181" s="14"/>
      <c r="LY181" s="65"/>
      <c r="LZ181" s="13"/>
      <c r="MA181" s="14"/>
      <c r="MC181" s="65"/>
      <c r="MD181" s="13"/>
      <c r="ME181" s="14"/>
      <c r="MG181" s="65"/>
      <c r="MH181" s="13"/>
      <c r="MI181" s="14"/>
      <c r="MK181" s="65"/>
      <c r="ML181" s="13"/>
      <c r="MM181" s="14"/>
      <c r="MO181" s="65"/>
      <c r="MP181" s="13"/>
      <c r="MQ181" s="14"/>
      <c r="MS181" s="65"/>
      <c r="MT181" s="13"/>
      <c r="MU181" s="14"/>
    </row>
    <row r="182" spans="1:359" hidden="1" x14ac:dyDescent="0.25">
      <c r="A182" s="15">
        <f t="shared" si="192"/>
        <v>0</v>
      </c>
      <c r="B182" s="20">
        <v>42876</v>
      </c>
      <c r="C182"/>
      <c r="D182" s="12"/>
      <c r="E182" s="12"/>
      <c r="I182" s="12"/>
      <c r="J182" s="12"/>
      <c r="N182" s="12"/>
      <c r="O182" s="12"/>
      <c r="T182" s="15"/>
      <c r="U182" s="20"/>
      <c r="V182" s="36"/>
      <c r="W182" s="12"/>
      <c r="X182" s="12"/>
      <c r="AB182" s="12"/>
      <c r="AC182" s="12"/>
      <c r="AG182" s="12"/>
      <c r="AH182" s="12"/>
      <c r="AK182" s="12"/>
      <c r="AL182" s="13"/>
      <c r="AM182" s="14"/>
      <c r="CK182" s="65"/>
      <c r="CL182" s="13"/>
      <c r="CO182" s="65"/>
      <c r="CP182" s="13"/>
      <c r="CS182" s="65"/>
      <c r="CT182" s="13"/>
      <c r="CW182" s="65"/>
      <c r="CX182" s="13"/>
      <c r="DA182" s="65"/>
      <c r="DB182" s="13"/>
      <c r="DE182" s="65"/>
      <c r="DF182" s="13"/>
      <c r="DI182" s="65"/>
      <c r="DJ182" s="13"/>
      <c r="DM182" s="65"/>
      <c r="DN182" s="13"/>
      <c r="DQ182" s="65"/>
      <c r="DR182" s="13"/>
      <c r="DU182" s="65"/>
      <c r="DV182" s="13"/>
      <c r="DY182" s="65"/>
      <c r="DZ182" s="13"/>
      <c r="EA182" s="14"/>
      <c r="EC182" s="65"/>
      <c r="ED182" s="13"/>
      <c r="EE182" s="14"/>
      <c r="EG182" s="65"/>
      <c r="EH182" s="13"/>
      <c r="EI182" s="14"/>
      <c r="EK182" s="65"/>
      <c r="EL182" s="13"/>
      <c r="EM182" s="14"/>
      <c r="EO182" s="65"/>
      <c r="EP182" s="13"/>
      <c r="EQ182" s="14"/>
      <c r="ES182" s="65"/>
      <c r="ET182" s="13"/>
      <c r="EU182" s="14"/>
      <c r="EW182" s="65"/>
      <c r="EX182" s="13"/>
      <c r="EY182" s="14"/>
      <c r="FA182" s="65"/>
      <c r="FB182" s="13"/>
      <c r="FC182" s="14"/>
      <c r="FE182" s="65"/>
      <c r="FF182" s="13"/>
      <c r="FG182" s="14"/>
      <c r="FI182" s="65"/>
      <c r="FJ182" s="13"/>
      <c r="FK182" s="14"/>
      <c r="FM182" s="65"/>
      <c r="FN182" s="13"/>
      <c r="FO182" s="14"/>
      <c r="FQ182" s="65"/>
      <c r="FR182" s="13"/>
      <c r="FS182" s="14"/>
      <c r="FU182" s="65"/>
      <c r="FV182" s="13"/>
      <c r="FW182" s="14"/>
      <c r="FY182" s="65"/>
      <c r="FZ182" s="13"/>
      <c r="GA182" s="14"/>
      <c r="GC182" s="65"/>
      <c r="GD182" s="13"/>
      <c r="GE182" s="14"/>
      <c r="GG182" s="65"/>
      <c r="GH182" s="13"/>
      <c r="GI182" s="14"/>
      <c r="GK182" s="65"/>
      <c r="GL182" s="13"/>
      <c r="GM182" s="14"/>
      <c r="GO182" s="65"/>
      <c r="GP182" s="13"/>
      <c r="GQ182" s="14"/>
      <c r="GS182" s="65"/>
      <c r="GT182" s="13"/>
      <c r="GU182" s="14"/>
      <c r="GW182" s="65"/>
      <c r="GX182" s="13"/>
      <c r="GY182" s="14"/>
      <c r="HA182" s="65"/>
      <c r="HB182" s="13"/>
      <c r="HC182" s="14"/>
      <c r="HE182" s="65"/>
      <c r="HF182" s="13"/>
      <c r="HG182" s="14"/>
      <c r="HI182" s="65"/>
      <c r="HJ182" s="13"/>
      <c r="HK182" s="14"/>
      <c r="HM182" s="65"/>
      <c r="HN182" s="13"/>
      <c r="HO182" s="14"/>
      <c r="HQ182" s="65"/>
      <c r="HR182" s="13"/>
      <c r="HS182" s="14"/>
      <c r="HU182" s="65"/>
      <c r="HV182" s="13"/>
      <c r="HW182" s="14"/>
      <c r="HY182" s="65"/>
      <c r="HZ182" s="13"/>
      <c r="IA182" s="14"/>
      <c r="IC182" s="65"/>
      <c r="ID182" s="13"/>
      <c r="IE182" s="14"/>
      <c r="IG182" s="65"/>
      <c r="IH182" s="13"/>
      <c r="II182" s="14"/>
      <c r="IK182" s="65"/>
      <c r="IL182" s="13"/>
      <c r="IM182" s="14"/>
      <c r="IO182" s="65"/>
      <c r="IP182" s="13"/>
      <c r="IQ182" s="14"/>
      <c r="IS182" s="65"/>
      <c r="IT182" s="13"/>
      <c r="IU182" s="14"/>
      <c r="IW182" s="65"/>
      <c r="IX182" s="13"/>
      <c r="IY182" s="14"/>
      <c r="JA182" s="65"/>
      <c r="JB182" s="13"/>
      <c r="JC182" s="14"/>
      <c r="JE182" s="65"/>
      <c r="JF182" s="13"/>
      <c r="JG182" s="14"/>
      <c r="JI182" s="65"/>
      <c r="JJ182" s="13"/>
      <c r="JK182" s="14"/>
      <c r="JM182" s="65"/>
      <c r="JN182" s="13"/>
      <c r="JO182" s="14"/>
      <c r="JQ182" s="65"/>
      <c r="JR182" s="13"/>
      <c r="JS182" s="14"/>
      <c r="JU182" s="65"/>
      <c r="JV182" s="13"/>
      <c r="JW182" s="14"/>
      <c r="JY182" s="65"/>
      <c r="JZ182" s="13"/>
      <c r="KA182" s="14"/>
      <c r="KC182" s="65"/>
      <c r="KD182" s="13"/>
      <c r="KE182" s="14"/>
      <c r="KG182" s="65"/>
      <c r="KH182" s="13"/>
      <c r="KI182" s="14"/>
      <c r="KK182" s="65"/>
      <c r="KL182" s="13"/>
      <c r="KM182" s="14"/>
      <c r="KO182" s="65"/>
      <c r="KP182" s="13"/>
      <c r="KQ182" s="14"/>
      <c r="KS182" s="65"/>
      <c r="KT182" s="13"/>
      <c r="KU182" s="14"/>
      <c r="KW182" s="65"/>
      <c r="KX182" s="13"/>
      <c r="KY182" s="14"/>
      <c r="LA182" s="65"/>
      <c r="LB182" s="13"/>
      <c r="LC182" s="14"/>
      <c r="LE182" s="65"/>
      <c r="LF182" s="13"/>
      <c r="LG182" s="14"/>
      <c r="LI182" s="65"/>
      <c r="LJ182" s="13"/>
      <c r="LK182" s="14"/>
      <c r="LM182" s="65"/>
      <c r="LN182" s="13"/>
      <c r="LO182" s="14"/>
      <c r="LQ182" s="65"/>
      <c r="LR182" s="13"/>
      <c r="LS182" s="14"/>
      <c r="LU182" s="65"/>
      <c r="LV182" s="13"/>
      <c r="LW182" s="14"/>
      <c r="LY182" s="65"/>
      <c r="LZ182" s="13"/>
      <c r="MA182" s="14"/>
      <c r="MC182" s="65"/>
      <c r="MD182" s="13"/>
      <c r="ME182" s="14"/>
      <c r="MG182" s="65"/>
      <c r="MH182" s="13"/>
      <c r="MI182" s="14"/>
      <c r="MK182" s="65"/>
      <c r="ML182" s="13"/>
      <c r="MM182" s="14"/>
      <c r="MO182" s="65"/>
      <c r="MP182" s="13"/>
      <c r="MQ182" s="14"/>
      <c r="MS182" s="65"/>
      <c r="MT182" s="13"/>
      <c r="MU182" s="14"/>
    </row>
    <row r="183" spans="1:359" hidden="1" x14ac:dyDescent="0.25">
      <c r="A183" s="15">
        <f t="shared" si="192"/>
        <v>0</v>
      </c>
      <c r="B183" s="20">
        <v>42877</v>
      </c>
      <c r="C183"/>
      <c r="D183" s="12"/>
      <c r="E183" s="12"/>
      <c r="I183" s="12"/>
      <c r="J183" s="12"/>
      <c r="N183" s="12"/>
      <c r="O183" s="12"/>
      <c r="T183" s="15"/>
      <c r="U183" s="20"/>
      <c r="V183" s="36"/>
      <c r="W183" s="12"/>
      <c r="X183" s="12"/>
      <c r="AB183" s="12"/>
      <c r="AC183" s="12"/>
      <c r="AG183" s="12"/>
      <c r="AH183" s="12"/>
      <c r="AK183" s="12"/>
      <c r="AL183" s="13"/>
      <c r="AM183" s="14"/>
      <c r="CK183" s="65"/>
      <c r="CL183" s="13"/>
      <c r="CO183" s="65"/>
      <c r="CP183" s="13"/>
      <c r="CS183" s="65"/>
      <c r="CT183" s="13"/>
      <c r="CW183" s="65"/>
      <c r="CX183" s="13"/>
      <c r="DA183" s="65"/>
      <c r="DB183" s="13"/>
      <c r="DE183" s="65"/>
      <c r="DF183" s="13"/>
      <c r="DI183" s="65"/>
      <c r="DJ183" s="13"/>
      <c r="DM183" s="65"/>
      <c r="DN183" s="13"/>
      <c r="DQ183" s="65"/>
      <c r="DR183" s="13"/>
      <c r="DU183" s="65"/>
      <c r="DV183" s="13"/>
      <c r="DY183" s="65"/>
      <c r="DZ183" s="13"/>
      <c r="EA183" s="14"/>
      <c r="EC183" s="65"/>
      <c r="ED183" s="13"/>
      <c r="EE183" s="14"/>
      <c r="EG183" s="65"/>
      <c r="EH183" s="13"/>
      <c r="EI183" s="14"/>
      <c r="EK183" s="65"/>
      <c r="EL183" s="13"/>
      <c r="EM183" s="14"/>
      <c r="EO183" s="65"/>
      <c r="EP183" s="13"/>
      <c r="EQ183" s="14"/>
      <c r="ES183" s="65"/>
      <c r="ET183" s="13"/>
      <c r="EU183" s="14"/>
      <c r="EW183" s="65"/>
      <c r="EX183" s="13"/>
      <c r="EY183" s="14"/>
      <c r="FA183" s="65"/>
      <c r="FB183" s="13"/>
      <c r="FC183" s="14"/>
      <c r="FE183" s="65"/>
      <c r="FF183" s="13"/>
      <c r="FG183" s="14"/>
      <c r="FI183" s="65"/>
      <c r="FJ183" s="13"/>
      <c r="FK183" s="14"/>
      <c r="FM183" s="65"/>
      <c r="FN183" s="13"/>
      <c r="FO183" s="14"/>
      <c r="FQ183" s="65"/>
      <c r="FR183" s="13"/>
      <c r="FS183" s="14"/>
      <c r="FU183" s="65"/>
      <c r="FV183" s="13"/>
      <c r="FW183" s="14"/>
      <c r="FY183" s="65"/>
      <c r="FZ183" s="13"/>
      <c r="GA183" s="14"/>
      <c r="GC183" s="65"/>
      <c r="GD183" s="13"/>
      <c r="GE183" s="14"/>
      <c r="GG183" s="65"/>
      <c r="GH183" s="13"/>
      <c r="GI183" s="14"/>
      <c r="GK183" s="65"/>
      <c r="GL183" s="13"/>
      <c r="GM183" s="14"/>
      <c r="GO183" s="65"/>
      <c r="GP183" s="13"/>
      <c r="GQ183" s="14"/>
      <c r="GS183" s="65"/>
      <c r="GT183" s="13"/>
      <c r="GU183" s="14"/>
      <c r="GW183" s="65"/>
      <c r="GX183" s="13"/>
      <c r="GY183" s="14"/>
      <c r="HA183" s="65"/>
      <c r="HB183" s="13"/>
      <c r="HC183" s="14"/>
      <c r="HE183" s="65"/>
      <c r="HF183" s="13"/>
      <c r="HG183" s="14"/>
      <c r="HI183" s="65"/>
      <c r="HJ183" s="13"/>
      <c r="HK183" s="14"/>
      <c r="HM183" s="65"/>
      <c r="HN183" s="13"/>
      <c r="HO183" s="14"/>
      <c r="HQ183" s="65"/>
      <c r="HR183" s="13"/>
      <c r="HS183" s="14"/>
      <c r="HU183" s="65"/>
      <c r="HV183" s="13"/>
      <c r="HW183" s="14"/>
      <c r="HY183" s="65"/>
      <c r="HZ183" s="13"/>
      <c r="IA183" s="14"/>
      <c r="IC183" s="65"/>
      <c r="ID183" s="13"/>
      <c r="IE183" s="14"/>
      <c r="IG183" s="65"/>
      <c r="IH183" s="13"/>
      <c r="II183" s="14"/>
      <c r="IK183" s="65"/>
      <c r="IL183" s="13"/>
      <c r="IM183" s="14"/>
      <c r="IO183" s="65"/>
      <c r="IP183" s="13"/>
      <c r="IQ183" s="14"/>
      <c r="IS183" s="65"/>
      <c r="IT183" s="13"/>
      <c r="IU183" s="14"/>
      <c r="IW183" s="65"/>
      <c r="IX183" s="13"/>
      <c r="IY183" s="14"/>
      <c r="JA183" s="65"/>
      <c r="JB183" s="13"/>
      <c r="JC183" s="14"/>
      <c r="JE183" s="65"/>
      <c r="JF183" s="13"/>
      <c r="JG183" s="14"/>
      <c r="JI183" s="65"/>
      <c r="JJ183" s="13"/>
      <c r="JK183" s="14"/>
      <c r="JM183" s="65"/>
      <c r="JN183" s="13"/>
      <c r="JO183" s="14"/>
      <c r="JQ183" s="65"/>
      <c r="JR183" s="13"/>
      <c r="JS183" s="14"/>
      <c r="JU183" s="65"/>
      <c r="JV183" s="13"/>
      <c r="JW183" s="14"/>
      <c r="JY183" s="65"/>
      <c r="JZ183" s="13"/>
      <c r="KA183" s="14"/>
      <c r="KC183" s="65"/>
      <c r="KD183" s="13"/>
      <c r="KE183" s="14"/>
      <c r="KG183" s="65"/>
      <c r="KH183" s="13"/>
      <c r="KI183" s="14"/>
      <c r="KK183" s="65"/>
      <c r="KL183" s="13"/>
      <c r="KM183" s="14"/>
      <c r="KO183" s="65"/>
      <c r="KP183" s="13"/>
      <c r="KQ183" s="14"/>
      <c r="KS183" s="65"/>
      <c r="KT183" s="13"/>
      <c r="KU183" s="14"/>
      <c r="KW183" s="65"/>
      <c r="KX183" s="13"/>
      <c r="KY183" s="14"/>
      <c r="LA183" s="65"/>
      <c r="LB183" s="13"/>
      <c r="LC183" s="14"/>
      <c r="LE183" s="65"/>
      <c r="LF183" s="13"/>
      <c r="LG183" s="14"/>
      <c r="LI183" s="65"/>
      <c r="LJ183" s="13"/>
      <c r="LK183" s="14"/>
      <c r="LM183" s="65"/>
      <c r="LN183" s="13"/>
      <c r="LO183" s="14"/>
      <c r="LQ183" s="65"/>
      <c r="LR183" s="13"/>
      <c r="LS183" s="14"/>
      <c r="LU183" s="65"/>
      <c r="LV183" s="13"/>
      <c r="LW183" s="14"/>
      <c r="LY183" s="65"/>
      <c r="LZ183" s="13"/>
      <c r="MA183" s="14"/>
      <c r="MC183" s="65"/>
      <c r="MD183" s="13"/>
      <c r="ME183" s="14"/>
      <c r="MG183" s="65"/>
      <c r="MH183" s="13"/>
      <c r="MI183" s="14"/>
      <c r="MK183" s="65"/>
      <c r="ML183" s="13"/>
      <c r="MM183" s="14"/>
      <c r="MO183" s="65"/>
      <c r="MP183" s="13"/>
      <c r="MQ183" s="14"/>
      <c r="MS183" s="65"/>
      <c r="MT183" s="13"/>
      <c r="MU183" s="14"/>
    </row>
    <row r="184" spans="1:359" hidden="1" x14ac:dyDescent="0.25">
      <c r="A184" s="15">
        <f t="shared" si="192"/>
        <v>0</v>
      </c>
      <c r="B184" s="20">
        <v>42878</v>
      </c>
      <c r="C184"/>
      <c r="D184" s="12"/>
      <c r="E184" s="12"/>
      <c r="I184" s="12"/>
      <c r="J184" s="12"/>
      <c r="N184" s="12"/>
      <c r="O184" s="12"/>
      <c r="T184" s="15"/>
      <c r="U184" s="20"/>
      <c r="V184" s="36"/>
      <c r="W184" s="12"/>
      <c r="X184" s="12"/>
      <c r="AB184" s="12"/>
      <c r="AC184" s="12"/>
      <c r="AG184" s="12"/>
      <c r="AH184" s="12"/>
      <c r="AK184" s="12"/>
      <c r="AL184" s="13"/>
      <c r="AM184" s="14"/>
      <c r="CK184" s="65"/>
      <c r="CL184" s="13"/>
      <c r="CO184" s="65"/>
      <c r="CP184" s="13"/>
      <c r="CS184" s="65"/>
      <c r="CT184" s="13"/>
      <c r="CW184" s="65"/>
      <c r="CX184" s="13"/>
      <c r="DA184" s="65"/>
      <c r="DB184" s="13"/>
      <c r="DE184" s="65"/>
      <c r="DF184" s="13"/>
      <c r="DI184" s="65"/>
      <c r="DJ184" s="13"/>
      <c r="DM184" s="65"/>
      <c r="DN184" s="13"/>
      <c r="DQ184" s="65"/>
      <c r="DR184" s="13"/>
      <c r="DU184" s="65"/>
      <c r="DV184" s="13"/>
      <c r="DY184" s="65"/>
      <c r="DZ184" s="13"/>
      <c r="EA184" s="14"/>
      <c r="EC184" s="65"/>
      <c r="ED184" s="13"/>
      <c r="EE184" s="14"/>
      <c r="EG184" s="65"/>
      <c r="EH184" s="13"/>
      <c r="EI184" s="14"/>
      <c r="EK184" s="65"/>
      <c r="EL184" s="13"/>
      <c r="EM184" s="14"/>
      <c r="EO184" s="65"/>
      <c r="EP184" s="13"/>
      <c r="EQ184" s="14"/>
      <c r="ES184" s="65"/>
      <c r="ET184" s="13"/>
      <c r="EU184" s="14"/>
      <c r="EW184" s="65"/>
      <c r="EX184" s="13"/>
      <c r="EY184" s="14"/>
      <c r="FA184" s="65"/>
      <c r="FB184" s="13"/>
      <c r="FC184" s="14"/>
      <c r="FE184" s="65"/>
      <c r="FF184" s="13"/>
      <c r="FG184" s="14"/>
      <c r="FI184" s="65"/>
      <c r="FJ184" s="13"/>
      <c r="FK184" s="14"/>
      <c r="FM184" s="65"/>
      <c r="FN184" s="13"/>
      <c r="FO184" s="14"/>
      <c r="FQ184" s="65"/>
      <c r="FR184" s="13"/>
      <c r="FS184" s="14"/>
      <c r="FU184" s="65"/>
      <c r="FV184" s="13"/>
      <c r="FW184" s="14"/>
      <c r="FY184" s="65"/>
      <c r="FZ184" s="13"/>
      <c r="GA184" s="14"/>
      <c r="GC184" s="65"/>
      <c r="GD184" s="13"/>
      <c r="GE184" s="14"/>
      <c r="GG184" s="65"/>
      <c r="GH184" s="13"/>
      <c r="GI184" s="14"/>
      <c r="GK184" s="65"/>
      <c r="GL184" s="13"/>
      <c r="GM184" s="14"/>
      <c r="GO184" s="65"/>
      <c r="GP184" s="13"/>
      <c r="GQ184" s="14"/>
      <c r="GS184" s="65"/>
      <c r="GT184" s="13"/>
      <c r="GU184" s="14"/>
      <c r="GW184" s="65"/>
      <c r="GX184" s="13"/>
      <c r="GY184" s="14"/>
      <c r="HA184" s="65"/>
      <c r="HB184" s="13"/>
      <c r="HC184" s="14"/>
      <c r="HE184" s="65"/>
      <c r="HF184" s="13"/>
      <c r="HG184" s="14"/>
      <c r="HI184" s="65"/>
      <c r="HJ184" s="13"/>
      <c r="HK184" s="14"/>
      <c r="HM184" s="65"/>
      <c r="HN184" s="13"/>
      <c r="HO184" s="14"/>
      <c r="HQ184" s="65"/>
      <c r="HR184" s="13"/>
      <c r="HS184" s="14"/>
      <c r="HU184" s="65"/>
      <c r="HV184" s="13"/>
      <c r="HW184" s="14"/>
      <c r="HY184" s="65"/>
      <c r="HZ184" s="13"/>
      <c r="IA184" s="14"/>
      <c r="IC184" s="65"/>
      <c r="ID184" s="13"/>
      <c r="IE184" s="14"/>
      <c r="IG184" s="65"/>
      <c r="IH184" s="13"/>
      <c r="II184" s="14"/>
      <c r="IK184" s="65"/>
      <c r="IL184" s="13"/>
      <c r="IM184" s="14"/>
      <c r="IO184" s="65"/>
      <c r="IP184" s="13"/>
      <c r="IQ184" s="14"/>
      <c r="IS184" s="65"/>
      <c r="IT184" s="13"/>
      <c r="IU184" s="14"/>
      <c r="IW184" s="65"/>
      <c r="IX184" s="13"/>
      <c r="IY184" s="14"/>
      <c r="JA184" s="65"/>
      <c r="JB184" s="13"/>
      <c r="JC184" s="14"/>
      <c r="JE184" s="65"/>
      <c r="JF184" s="13"/>
      <c r="JG184" s="14"/>
      <c r="JI184" s="65"/>
      <c r="JJ184" s="13"/>
      <c r="JK184" s="14"/>
      <c r="JM184" s="65"/>
      <c r="JN184" s="13"/>
      <c r="JO184" s="14"/>
      <c r="JQ184" s="65"/>
      <c r="JR184" s="13"/>
      <c r="JS184" s="14"/>
      <c r="JU184" s="65"/>
      <c r="JV184" s="13"/>
      <c r="JW184" s="14"/>
      <c r="JY184" s="65"/>
      <c r="JZ184" s="13"/>
      <c r="KA184" s="14"/>
      <c r="KC184" s="65"/>
      <c r="KD184" s="13"/>
      <c r="KE184" s="14"/>
      <c r="KG184" s="65"/>
      <c r="KH184" s="13"/>
      <c r="KI184" s="14"/>
      <c r="KK184" s="65"/>
      <c r="KL184" s="13"/>
      <c r="KM184" s="14"/>
      <c r="KO184" s="65"/>
      <c r="KP184" s="13"/>
      <c r="KQ184" s="14"/>
      <c r="KS184" s="65"/>
      <c r="KT184" s="13"/>
      <c r="KU184" s="14"/>
      <c r="KW184" s="65"/>
      <c r="KX184" s="13"/>
      <c r="KY184" s="14"/>
      <c r="LA184" s="65"/>
      <c r="LB184" s="13"/>
      <c r="LC184" s="14"/>
      <c r="LE184" s="65"/>
      <c r="LF184" s="13"/>
      <c r="LG184" s="14"/>
      <c r="LI184" s="65"/>
      <c r="LJ184" s="13"/>
      <c r="LK184" s="14"/>
      <c r="LM184" s="65"/>
      <c r="LN184" s="13"/>
      <c r="LO184" s="14"/>
      <c r="LQ184" s="65"/>
      <c r="LR184" s="13"/>
      <c r="LS184" s="14"/>
      <c r="LU184" s="65"/>
      <c r="LV184" s="13"/>
      <c r="LW184" s="14"/>
      <c r="LY184" s="65"/>
      <c r="LZ184" s="13"/>
      <c r="MA184" s="14"/>
      <c r="MC184" s="65"/>
      <c r="MD184" s="13"/>
      <c r="ME184" s="14"/>
      <c r="MG184" s="65"/>
      <c r="MH184" s="13"/>
      <c r="MI184" s="14"/>
      <c r="MK184" s="65"/>
      <c r="ML184" s="13"/>
      <c r="MM184" s="14"/>
      <c r="MO184" s="65"/>
      <c r="MP184" s="13"/>
      <c r="MQ184" s="14"/>
      <c r="MS184" s="65"/>
      <c r="MT184" s="13"/>
      <c r="MU184" s="14"/>
    </row>
    <row r="185" spans="1:359" hidden="1" x14ac:dyDescent="0.25">
      <c r="A185" s="15">
        <f t="shared" si="192"/>
        <v>0</v>
      </c>
      <c r="B185" s="20">
        <v>42879</v>
      </c>
      <c r="C185"/>
      <c r="D185" s="12"/>
      <c r="E185" s="12"/>
      <c r="I185" s="12"/>
      <c r="J185" s="12"/>
      <c r="N185" s="12"/>
      <c r="O185" s="12"/>
      <c r="T185" s="15"/>
      <c r="U185" s="20"/>
      <c r="V185" s="36"/>
      <c r="W185" s="12"/>
      <c r="X185" s="12"/>
      <c r="AB185" s="12"/>
      <c r="AC185" s="12"/>
      <c r="AG185" s="12"/>
      <c r="AH185" s="12"/>
      <c r="AK185" s="12"/>
      <c r="AL185" s="13"/>
      <c r="AM185" s="14"/>
      <c r="CK185" s="65"/>
      <c r="CL185" s="13"/>
      <c r="CO185" s="65"/>
      <c r="CP185" s="13"/>
      <c r="CS185" s="65"/>
      <c r="CT185" s="13"/>
      <c r="CW185" s="65"/>
      <c r="CX185" s="13"/>
      <c r="DA185" s="65"/>
      <c r="DB185" s="13"/>
      <c r="DE185" s="65"/>
      <c r="DF185" s="13"/>
      <c r="DI185" s="65"/>
      <c r="DJ185" s="13"/>
      <c r="DM185" s="65"/>
      <c r="DN185" s="13"/>
      <c r="DQ185" s="65"/>
      <c r="DR185" s="13"/>
      <c r="DU185" s="65"/>
      <c r="DV185" s="13"/>
      <c r="DY185" s="65"/>
      <c r="DZ185" s="13"/>
      <c r="EA185" s="14"/>
      <c r="EC185" s="65"/>
      <c r="ED185" s="13"/>
      <c r="EE185" s="14"/>
      <c r="EG185" s="65"/>
      <c r="EH185" s="13"/>
      <c r="EI185" s="14"/>
      <c r="EK185" s="65"/>
      <c r="EL185" s="13"/>
      <c r="EM185" s="14"/>
      <c r="EO185" s="65"/>
      <c r="EP185" s="13"/>
      <c r="EQ185" s="14"/>
      <c r="ES185" s="65"/>
      <c r="ET185" s="13"/>
      <c r="EU185" s="14"/>
      <c r="EW185" s="65"/>
      <c r="EX185" s="13"/>
      <c r="EY185" s="14"/>
      <c r="FA185" s="65"/>
      <c r="FB185" s="13"/>
      <c r="FC185" s="14"/>
      <c r="FE185" s="65"/>
      <c r="FF185" s="13"/>
      <c r="FG185" s="14"/>
      <c r="FI185" s="65"/>
      <c r="FJ185" s="13"/>
      <c r="FK185" s="14"/>
      <c r="FM185" s="65"/>
      <c r="FN185" s="13"/>
      <c r="FO185" s="14"/>
      <c r="FQ185" s="65"/>
      <c r="FR185" s="13"/>
      <c r="FS185" s="14"/>
      <c r="FU185" s="65"/>
      <c r="FV185" s="13"/>
      <c r="FW185" s="14"/>
      <c r="FY185" s="65"/>
      <c r="FZ185" s="13"/>
      <c r="GA185" s="14"/>
      <c r="GC185" s="65"/>
      <c r="GD185" s="13"/>
      <c r="GE185" s="14"/>
      <c r="GG185" s="65"/>
      <c r="GH185" s="13"/>
      <c r="GI185" s="14"/>
      <c r="GK185" s="65"/>
      <c r="GL185" s="13"/>
      <c r="GM185" s="14"/>
      <c r="GO185" s="65"/>
      <c r="GP185" s="13"/>
      <c r="GQ185" s="14"/>
      <c r="GS185" s="65"/>
      <c r="GT185" s="13"/>
      <c r="GU185" s="14"/>
      <c r="GW185" s="65"/>
      <c r="GX185" s="13"/>
      <c r="GY185" s="14"/>
      <c r="HA185" s="65"/>
      <c r="HB185" s="13"/>
      <c r="HC185" s="14"/>
      <c r="HE185" s="65"/>
      <c r="HF185" s="13"/>
      <c r="HG185" s="14"/>
      <c r="HI185" s="65"/>
      <c r="HJ185" s="13"/>
      <c r="HK185" s="14"/>
      <c r="HM185" s="65"/>
      <c r="HN185" s="13"/>
      <c r="HO185" s="14"/>
      <c r="HQ185" s="65"/>
      <c r="HR185" s="13"/>
      <c r="HS185" s="14"/>
      <c r="HU185" s="65"/>
      <c r="HV185" s="13"/>
      <c r="HW185" s="14"/>
      <c r="HY185" s="65"/>
      <c r="HZ185" s="13"/>
      <c r="IA185" s="14"/>
      <c r="IC185" s="65"/>
      <c r="ID185" s="13"/>
      <c r="IE185" s="14"/>
      <c r="IG185" s="65"/>
      <c r="IH185" s="13"/>
      <c r="II185" s="14"/>
      <c r="IK185" s="65"/>
      <c r="IL185" s="13"/>
      <c r="IM185" s="14"/>
      <c r="IO185" s="65"/>
      <c r="IP185" s="13"/>
      <c r="IQ185" s="14"/>
      <c r="IS185" s="65"/>
      <c r="IT185" s="13"/>
      <c r="IU185" s="14"/>
      <c r="IW185" s="65"/>
      <c r="IX185" s="13"/>
      <c r="IY185" s="14"/>
      <c r="JA185" s="65"/>
      <c r="JB185" s="13"/>
      <c r="JC185" s="14"/>
      <c r="JE185" s="65"/>
      <c r="JF185" s="13"/>
      <c r="JG185" s="14"/>
      <c r="JI185" s="65"/>
      <c r="JJ185" s="13"/>
      <c r="JK185" s="14"/>
      <c r="JM185" s="65"/>
      <c r="JN185" s="13"/>
      <c r="JO185" s="14"/>
      <c r="JQ185" s="65"/>
      <c r="JR185" s="13"/>
      <c r="JS185" s="14"/>
      <c r="JU185" s="65"/>
      <c r="JV185" s="13"/>
      <c r="JW185" s="14"/>
      <c r="JY185" s="65"/>
      <c r="JZ185" s="13"/>
      <c r="KA185" s="14"/>
      <c r="KC185" s="65"/>
      <c r="KD185" s="13"/>
      <c r="KE185" s="14"/>
      <c r="KG185" s="65"/>
      <c r="KH185" s="13"/>
      <c r="KI185" s="14"/>
      <c r="KK185" s="65"/>
      <c r="KL185" s="13"/>
      <c r="KM185" s="14"/>
      <c r="KO185" s="65"/>
      <c r="KP185" s="13"/>
      <c r="KQ185" s="14"/>
      <c r="KS185" s="65"/>
      <c r="KT185" s="13"/>
      <c r="KU185" s="14"/>
      <c r="KW185" s="65"/>
      <c r="KX185" s="13"/>
      <c r="KY185" s="14"/>
      <c r="LA185" s="65"/>
      <c r="LB185" s="13"/>
      <c r="LC185" s="14"/>
      <c r="LE185" s="65"/>
      <c r="LF185" s="13"/>
      <c r="LG185" s="14"/>
      <c r="LI185" s="65"/>
      <c r="LJ185" s="13"/>
      <c r="LK185" s="14"/>
      <c r="LM185" s="65"/>
      <c r="LN185" s="13"/>
      <c r="LO185" s="14"/>
      <c r="LQ185" s="65"/>
      <c r="LR185" s="13"/>
      <c r="LS185" s="14"/>
      <c r="LU185" s="65"/>
      <c r="LV185" s="13"/>
      <c r="LW185" s="14"/>
      <c r="LY185" s="65"/>
      <c r="LZ185" s="13"/>
      <c r="MA185" s="14"/>
      <c r="MC185" s="65"/>
      <c r="MD185" s="13"/>
      <c r="ME185" s="14"/>
      <c r="MG185" s="65"/>
      <c r="MH185" s="13"/>
      <c r="MI185" s="14"/>
      <c r="MK185" s="65"/>
      <c r="ML185" s="13"/>
      <c r="MM185" s="14"/>
      <c r="MO185" s="65"/>
      <c r="MP185" s="13"/>
      <c r="MQ185" s="14"/>
      <c r="MS185" s="65"/>
      <c r="MT185" s="13"/>
      <c r="MU185" s="14"/>
    </row>
    <row r="186" spans="1:359" hidden="1" x14ac:dyDescent="0.25">
      <c r="A186" s="15">
        <f t="shared" si="192"/>
        <v>0</v>
      </c>
      <c r="B186" s="20">
        <v>42880</v>
      </c>
      <c r="C186"/>
      <c r="D186" s="12"/>
      <c r="E186" s="12"/>
      <c r="I186" s="12"/>
      <c r="J186" s="12"/>
      <c r="N186" s="12"/>
      <c r="O186" s="12"/>
      <c r="T186" s="15"/>
      <c r="U186" s="20"/>
      <c r="V186" s="36"/>
      <c r="W186" s="12"/>
      <c r="X186" s="12"/>
      <c r="AB186" s="12"/>
      <c r="AC186" s="12"/>
      <c r="AG186" s="12"/>
      <c r="AH186" s="12"/>
      <c r="AK186" s="12"/>
      <c r="AL186" s="13"/>
      <c r="AM186" s="14"/>
      <c r="CK186" s="65"/>
      <c r="CL186" s="13"/>
      <c r="CO186" s="65"/>
      <c r="CP186" s="13"/>
      <c r="CS186" s="65"/>
      <c r="CT186" s="13"/>
      <c r="CW186" s="65"/>
      <c r="CX186" s="13"/>
      <c r="DA186" s="65"/>
      <c r="DB186" s="13"/>
      <c r="DE186" s="65"/>
      <c r="DF186" s="13"/>
      <c r="DI186" s="65"/>
      <c r="DJ186" s="13"/>
      <c r="DM186" s="65"/>
      <c r="DN186" s="13"/>
      <c r="DQ186" s="65"/>
      <c r="DR186" s="13"/>
      <c r="DU186" s="65"/>
      <c r="DV186" s="13"/>
      <c r="DY186" s="65"/>
      <c r="DZ186" s="13"/>
      <c r="EA186" s="14"/>
      <c r="EC186" s="65"/>
      <c r="ED186" s="13"/>
      <c r="EE186" s="14"/>
      <c r="EG186" s="65"/>
      <c r="EH186" s="13"/>
      <c r="EI186" s="14"/>
      <c r="EK186" s="65"/>
      <c r="EL186" s="13"/>
      <c r="EM186" s="14"/>
      <c r="EO186" s="65"/>
      <c r="EP186" s="13"/>
      <c r="EQ186" s="14"/>
      <c r="ES186" s="65"/>
      <c r="ET186" s="13"/>
      <c r="EU186" s="14"/>
      <c r="EW186" s="65"/>
      <c r="EX186" s="13"/>
      <c r="EY186" s="14"/>
      <c r="FA186" s="65"/>
      <c r="FB186" s="13"/>
      <c r="FC186" s="14"/>
      <c r="FE186" s="65"/>
      <c r="FF186" s="13"/>
      <c r="FG186" s="14"/>
      <c r="FI186" s="65"/>
      <c r="FJ186" s="13"/>
      <c r="FK186" s="14"/>
      <c r="FM186" s="65"/>
      <c r="FN186" s="13"/>
      <c r="FO186" s="14"/>
      <c r="FQ186" s="65"/>
      <c r="FR186" s="13"/>
      <c r="FS186" s="14"/>
      <c r="FU186" s="65"/>
      <c r="FV186" s="13"/>
      <c r="FW186" s="14"/>
      <c r="FY186" s="65"/>
      <c r="FZ186" s="13"/>
      <c r="GA186" s="14"/>
      <c r="GC186" s="65"/>
      <c r="GD186" s="13"/>
      <c r="GE186" s="14"/>
      <c r="GG186" s="65"/>
      <c r="GH186" s="13"/>
      <c r="GI186" s="14"/>
      <c r="GK186" s="65"/>
      <c r="GL186" s="13"/>
      <c r="GM186" s="14"/>
      <c r="GO186" s="65"/>
      <c r="GP186" s="13"/>
      <c r="GQ186" s="14"/>
      <c r="GS186" s="65"/>
      <c r="GT186" s="13"/>
      <c r="GU186" s="14"/>
      <c r="GW186" s="65"/>
      <c r="GX186" s="13"/>
      <c r="GY186" s="14"/>
      <c r="HA186" s="65"/>
      <c r="HB186" s="13"/>
      <c r="HC186" s="14"/>
      <c r="HE186" s="65"/>
      <c r="HF186" s="13"/>
      <c r="HG186" s="14"/>
      <c r="HI186" s="65"/>
      <c r="HJ186" s="13"/>
      <c r="HK186" s="14"/>
      <c r="HM186" s="65"/>
      <c r="HN186" s="13"/>
      <c r="HO186" s="14"/>
      <c r="HQ186" s="65"/>
      <c r="HR186" s="13"/>
      <c r="HS186" s="14"/>
      <c r="HU186" s="65"/>
      <c r="HV186" s="13"/>
      <c r="HW186" s="14"/>
      <c r="HY186" s="65"/>
      <c r="HZ186" s="13"/>
      <c r="IA186" s="14"/>
      <c r="IC186" s="65"/>
      <c r="ID186" s="13"/>
      <c r="IE186" s="14"/>
      <c r="IG186" s="65"/>
      <c r="IH186" s="13"/>
      <c r="II186" s="14"/>
      <c r="IK186" s="65"/>
      <c r="IL186" s="13"/>
      <c r="IM186" s="14"/>
      <c r="IO186" s="65"/>
      <c r="IP186" s="13"/>
      <c r="IQ186" s="14"/>
      <c r="IS186" s="65"/>
      <c r="IT186" s="13"/>
      <c r="IU186" s="14"/>
      <c r="IW186" s="65"/>
      <c r="IX186" s="13"/>
      <c r="IY186" s="14"/>
      <c r="JA186" s="65"/>
      <c r="JB186" s="13"/>
      <c r="JC186" s="14"/>
      <c r="JE186" s="65"/>
      <c r="JF186" s="13"/>
      <c r="JG186" s="14"/>
      <c r="JI186" s="65"/>
      <c r="JJ186" s="13"/>
      <c r="JK186" s="14"/>
      <c r="JM186" s="65"/>
      <c r="JN186" s="13"/>
      <c r="JO186" s="14"/>
      <c r="JQ186" s="65"/>
      <c r="JR186" s="13"/>
      <c r="JS186" s="14"/>
      <c r="JU186" s="65"/>
      <c r="JV186" s="13"/>
      <c r="JW186" s="14"/>
      <c r="JY186" s="65"/>
      <c r="JZ186" s="13"/>
      <c r="KA186" s="14"/>
      <c r="KC186" s="65"/>
      <c r="KD186" s="13"/>
      <c r="KE186" s="14"/>
      <c r="KG186" s="65"/>
      <c r="KH186" s="13"/>
      <c r="KI186" s="14"/>
      <c r="KK186" s="65"/>
      <c r="KL186" s="13"/>
      <c r="KM186" s="14"/>
      <c r="KO186" s="65"/>
      <c r="KP186" s="13"/>
      <c r="KQ186" s="14"/>
      <c r="KS186" s="65"/>
      <c r="KT186" s="13"/>
      <c r="KU186" s="14"/>
      <c r="KW186" s="65"/>
      <c r="KX186" s="13"/>
      <c r="KY186" s="14"/>
      <c r="LA186" s="65"/>
      <c r="LB186" s="13"/>
      <c r="LC186" s="14"/>
      <c r="LE186" s="65"/>
      <c r="LF186" s="13"/>
      <c r="LG186" s="14"/>
      <c r="LI186" s="65"/>
      <c r="LJ186" s="13"/>
      <c r="LK186" s="14"/>
      <c r="LM186" s="65"/>
      <c r="LN186" s="13"/>
      <c r="LO186" s="14"/>
      <c r="LQ186" s="65"/>
      <c r="LR186" s="13"/>
      <c r="LS186" s="14"/>
      <c r="LU186" s="65"/>
      <c r="LV186" s="13"/>
      <c r="LW186" s="14"/>
      <c r="LY186" s="65"/>
      <c r="LZ186" s="13"/>
      <c r="MA186" s="14"/>
      <c r="MC186" s="65"/>
      <c r="MD186" s="13"/>
      <c r="ME186" s="14"/>
      <c r="MG186" s="65"/>
      <c r="MH186" s="13"/>
      <c r="MI186" s="14"/>
      <c r="MK186" s="65"/>
      <c r="ML186" s="13"/>
      <c r="MM186" s="14"/>
      <c r="MO186" s="65"/>
      <c r="MP186" s="13"/>
      <c r="MQ186" s="14"/>
      <c r="MS186" s="65"/>
      <c r="MT186" s="13"/>
      <c r="MU186" s="14"/>
    </row>
    <row r="187" spans="1:359" hidden="1" x14ac:dyDescent="0.25">
      <c r="A187" s="15">
        <f t="shared" si="192"/>
        <v>0</v>
      </c>
      <c r="B187" s="20">
        <v>42881</v>
      </c>
      <c r="C187"/>
      <c r="D187" s="12"/>
      <c r="E187" s="12"/>
      <c r="I187" s="12"/>
      <c r="J187" s="12"/>
      <c r="N187" s="12"/>
      <c r="O187" s="12"/>
      <c r="T187" s="15"/>
      <c r="U187" s="20"/>
      <c r="V187" s="36"/>
      <c r="W187" s="12"/>
      <c r="X187" s="12"/>
      <c r="AB187" s="12"/>
      <c r="AC187" s="12"/>
      <c r="AG187" s="12"/>
      <c r="AH187" s="12"/>
      <c r="AK187" s="12"/>
      <c r="AL187" s="13"/>
      <c r="AM187" s="14"/>
      <c r="CK187" s="65"/>
      <c r="CL187" s="13"/>
      <c r="CO187" s="65"/>
      <c r="CP187" s="13"/>
      <c r="CS187" s="65"/>
      <c r="CT187" s="13"/>
      <c r="CW187" s="65"/>
      <c r="CX187" s="13"/>
      <c r="DA187" s="65"/>
      <c r="DB187" s="13"/>
      <c r="DE187" s="65"/>
      <c r="DF187" s="13"/>
      <c r="DI187" s="65"/>
      <c r="DJ187" s="13"/>
      <c r="DM187" s="65"/>
      <c r="DN187" s="13"/>
      <c r="DQ187" s="65"/>
      <c r="DR187" s="13"/>
      <c r="DU187" s="65"/>
      <c r="DV187" s="13"/>
      <c r="DY187" s="65"/>
      <c r="DZ187" s="13"/>
      <c r="EA187" s="14"/>
      <c r="EC187" s="65"/>
      <c r="ED187" s="13"/>
      <c r="EE187" s="14"/>
      <c r="EG187" s="65"/>
      <c r="EH187" s="13"/>
      <c r="EI187" s="14"/>
      <c r="EK187" s="65"/>
      <c r="EL187" s="13"/>
      <c r="EM187" s="14"/>
      <c r="EO187" s="65"/>
      <c r="EP187" s="13"/>
      <c r="EQ187" s="14"/>
      <c r="ES187" s="65"/>
      <c r="ET187" s="13"/>
      <c r="EU187" s="14"/>
      <c r="EW187" s="65"/>
      <c r="EX187" s="13"/>
      <c r="EY187" s="14"/>
      <c r="FA187" s="65"/>
      <c r="FB187" s="13"/>
      <c r="FC187" s="14"/>
      <c r="FE187" s="65"/>
      <c r="FF187" s="13"/>
      <c r="FG187" s="14"/>
      <c r="FI187" s="65"/>
      <c r="FJ187" s="13"/>
      <c r="FK187" s="14"/>
      <c r="FM187" s="65"/>
      <c r="FN187" s="13"/>
      <c r="FO187" s="14"/>
      <c r="FQ187" s="65"/>
      <c r="FR187" s="13"/>
      <c r="FS187" s="14"/>
      <c r="FU187" s="65"/>
      <c r="FV187" s="13"/>
      <c r="FW187" s="14"/>
      <c r="FY187" s="65"/>
      <c r="FZ187" s="13"/>
      <c r="GA187" s="14"/>
      <c r="GC187" s="65"/>
      <c r="GD187" s="13"/>
      <c r="GE187" s="14"/>
      <c r="GG187" s="65"/>
      <c r="GH187" s="13"/>
      <c r="GI187" s="14"/>
      <c r="GK187" s="65"/>
      <c r="GL187" s="13"/>
      <c r="GM187" s="14"/>
      <c r="GO187" s="65"/>
      <c r="GP187" s="13"/>
      <c r="GQ187" s="14"/>
      <c r="GS187" s="65"/>
      <c r="GT187" s="13"/>
      <c r="GU187" s="14"/>
      <c r="GW187" s="65"/>
      <c r="GX187" s="13"/>
      <c r="GY187" s="14"/>
      <c r="HA187" s="65"/>
      <c r="HB187" s="13"/>
      <c r="HC187" s="14"/>
      <c r="HE187" s="65"/>
      <c r="HF187" s="13"/>
      <c r="HG187" s="14"/>
      <c r="HI187" s="65"/>
      <c r="HJ187" s="13"/>
      <c r="HK187" s="14"/>
      <c r="HM187" s="65"/>
      <c r="HN187" s="13"/>
      <c r="HO187" s="14"/>
      <c r="HQ187" s="65"/>
      <c r="HR187" s="13"/>
      <c r="HS187" s="14"/>
      <c r="HU187" s="65"/>
      <c r="HV187" s="13"/>
      <c r="HW187" s="14"/>
      <c r="HY187" s="65"/>
      <c r="HZ187" s="13"/>
      <c r="IA187" s="14"/>
      <c r="IC187" s="65"/>
      <c r="ID187" s="13"/>
      <c r="IE187" s="14"/>
      <c r="IG187" s="65"/>
      <c r="IH187" s="13"/>
      <c r="II187" s="14"/>
      <c r="IK187" s="65"/>
      <c r="IL187" s="13"/>
      <c r="IM187" s="14"/>
      <c r="IO187" s="65"/>
      <c r="IP187" s="13"/>
      <c r="IQ187" s="14"/>
      <c r="IS187" s="65"/>
      <c r="IT187" s="13"/>
      <c r="IU187" s="14"/>
      <c r="IW187" s="65"/>
      <c r="IX187" s="13"/>
      <c r="IY187" s="14"/>
      <c r="JA187" s="65"/>
      <c r="JB187" s="13"/>
      <c r="JC187" s="14"/>
      <c r="JE187" s="65"/>
      <c r="JF187" s="13"/>
      <c r="JG187" s="14"/>
      <c r="JI187" s="65"/>
      <c r="JJ187" s="13"/>
      <c r="JK187" s="14"/>
      <c r="JM187" s="65"/>
      <c r="JN187" s="13"/>
      <c r="JO187" s="14"/>
      <c r="JQ187" s="65"/>
      <c r="JR187" s="13"/>
      <c r="JS187" s="14"/>
      <c r="JU187" s="65"/>
      <c r="JV187" s="13"/>
      <c r="JW187" s="14"/>
      <c r="JY187" s="65"/>
      <c r="JZ187" s="13"/>
      <c r="KA187" s="14"/>
      <c r="KC187" s="65"/>
      <c r="KD187" s="13"/>
      <c r="KE187" s="14"/>
      <c r="KG187" s="65"/>
      <c r="KH187" s="13"/>
      <c r="KI187" s="14"/>
      <c r="KK187" s="65"/>
      <c r="KL187" s="13"/>
      <c r="KM187" s="14"/>
      <c r="KO187" s="65"/>
      <c r="KP187" s="13"/>
      <c r="KQ187" s="14"/>
      <c r="KS187" s="65"/>
      <c r="KT187" s="13"/>
      <c r="KU187" s="14"/>
      <c r="KW187" s="65"/>
      <c r="KX187" s="13"/>
      <c r="KY187" s="14"/>
      <c r="LA187" s="65"/>
      <c r="LB187" s="13"/>
      <c r="LC187" s="14"/>
      <c r="LE187" s="65"/>
      <c r="LF187" s="13"/>
      <c r="LG187" s="14"/>
      <c r="LI187" s="65"/>
      <c r="LJ187" s="13"/>
      <c r="LK187" s="14"/>
      <c r="LM187" s="65"/>
      <c r="LN187" s="13"/>
      <c r="LO187" s="14"/>
      <c r="LQ187" s="65"/>
      <c r="LR187" s="13"/>
      <c r="LS187" s="14"/>
      <c r="LU187" s="65"/>
      <c r="LV187" s="13"/>
      <c r="LW187" s="14"/>
      <c r="LY187" s="65"/>
      <c r="LZ187" s="13"/>
      <c r="MA187" s="14"/>
      <c r="MC187" s="65"/>
      <c r="MD187" s="13"/>
      <c r="ME187" s="14"/>
      <c r="MG187" s="65"/>
      <c r="MH187" s="13"/>
      <c r="MI187" s="14"/>
      <c r="MK187" s="65"/>
      <c r="ML187" s="13"/>
      <c r="MM187" s="14"/>
      <c r="MO187" s="65"/>
      <c r="MP187" s="13"/>
      <c r="MQ187" s="14"/>
      <c r="MS187" s="65"/>
      <c r="MT187" s="13"/>
      <c r="MU187" s="14"/>
    </row>
    <row r="188" spans="1:359" hidden="1" x14ac:dyDescent="0.25">
      <c r="A188" s="15">
        <f t="shared" si="192"/>
        <v>0</v>
      </c>
      <c r="B188" s="20">
        <v>42882</v>
      </c>
      <c r="C188"/>
      <c r="D188" s="12"/>
      <c r="E188" s="12"/>
      <c r="I188" s="12"/>
      <c r="J188" s="12"/>
      <c r="N188" s="12"/>
      <c r="O188" s="12"/>
      <c r="T188" s="15"/>
      <c r="U188" s="20"/>
      <c r="V188" s="36"/>
      <c r="W188" s="12"/>
      <c r="X188" s="12"/>
      <c r="AB188" s="12"/>
      <c r="AC188" s="12"/>
      <c r="AG188" s="12"/>
      <c r="AH188" s="12"/>
      <c r="AK188" s="12"/>
      <c r="AL188" s="13"/>
      <c r="AM188" s="14"/>
      <c r="CK188" s="65"/>
      <c r="CL188" s="13"/>
      <c r="CO188" s="65"/>
      <c r="CP188" s="13"/>
      <c r="CS188" s="65"/>
      <c r="CT188" s="13"/>
      <c r="CW188" s="65"/>
      <c r="CX188" s="13"/>
      <c r="DA188" s="65"/>
      <c r="DB188" s="13"/>
      <c r="DE188" s="65"/>
      <c r="DF188" s="13"/>
      <c r="DI188" s="65"/>
      <c r="DJ188" s="13"/>
      <c r="DM188" s="65"/>
      <c r="DN188" s="13"/>
      <c r="DQ188" s="65"/>
      <c r="DR188" s="13"/>
      <c r="DU188" s="65"/>
      <c r="DV188" s="13"/>
      <c r="DY188" s="65"/>
      <c r="DZ188" s="13"/>
      <c r="EA188" s="14"/>
      <c r="EC188" s="65"/>
      <c r="ED188" s="13"/>
      <c r="EE188" s="14"/>
      <c r="EG188" s="65"/>
      <c r="EH188" s="13"/>
      <c r="EI188" s="14"/>
      <c r="EK188" s="65"/>
      <c r="EL188" s="13"/>
      <c r="EM188" s="14"/>
      <c r="EO188" s="65"/>
      <c r="EP188" s="13"/>
      <c r="EQ188" s="14"/>
      <c r="ES188" s="65"/>
      <c r="ET188" s="13"/>
      <c r="EU188" s="14"/>
      <c r="EW188" s="65"/>
      <c r="EX188" s="13"/>
      <c r="EY188" s="14"/>
      <c r="FA188" s="65"/>
      <c r="FB188" s="13"/>
      <c r="FC188" s="14"/>
      <c r="FE188" s="65"/>
      <c r="FF188" s="13"/>
      <c r="FG188" s="14"/>
      <c r="FI188" s="65"/>
      <c r="FJ188" s="13"/>
      <c r="FK188" s="14"/>
      <c r="FM188" s="65"/>
      <c r="FN188" s="13"/>
      <c r="FO188" s="14"/>
      <c r="FQ188" s="65"/>
      <c r="FR188" s="13"/>
      <c r="FS188" s="14"/>
      <c r="FU188" s="65"/>
      <c r="FV188" s="13"/>
      <c r="FW188" s="14"/>
      <c r="FY188" s="65"/>
      <c r="FZ188" s="13"/>
      <c r="GA188" s="14"/>
      <c r="GC188" s="65"/>
      <c r="GD188" s="13"/>
      <c r="GE188" s="14"/>
      <c r="GG188" s="65"/>
      <c r="GH188" s="13"/>
      <c r="GI188" s="14"/>
      <c r="GK188" s="65"/>
      <c r="GL188" s="13"/>
      <c r="GM188" s="14"/>
      <c r="GO188" s="65"/>
      <c r="GP188" s="13"/>
      <c r="GQ188" s="14"/>
      <c r="GS188" s="65"/>
      <c r="GT188" s="13"/>
      <c r="GU188" s="14"/>
      <c r="GW188" s="65"/>
      <c r="GX188" s="13"/>
      <c r="GY188" s="14"/>
      <c r="HA188" s="65"/>
      <c r="HB188" s="13"/>
      <c r="HC188" s="14"/>
      <c r="HE188" s="65"/>
      <c r="HF188" s="13"/>
      <c r="HG188" s="14"/>
      <c r="HI188" s="65"/>
      <c r="HJ188" s="13"/>
      <c r="HK188" s="14"/>
      <c r="HM188" s="65"/>
      <c r="HN188" s="13"/>
      <c r="HO188" s="14"/>
      <c r="HQ188" s="65"/>
      <c r="HR188" s="13"/>
      <c r="HS188" s="14"/>
      <c r="HU188" s="65"/>
      <c r="HV188" s="13"/>
      <c r="HW188" s="14"/>
      <c r="HY188" s="65"/>
      <c r="HZ188" s="13"/>
      <c r="IA188" s="14"/>
      <c r="IC188" s="65"/>
      <c r="ID188" s="13"/>
      <c r="IE188" s="14"/>
      <c r="IG188" s="65"/>
      <c r="IH188" s="13"/>
      <c r="II188" s="14"/>
      <c r="IK188" s="65"/>
      <c r="IL188" s="13"/>
      <c r="IM188" s="14"/>
      <c r="IO188" s="65"/>
      <c r="IP188" s="13"/>
      <c r="IQ188" s="14"/>
      <c r="IS188" s="65"/>
      <c r="IT188" s="13"/>
      <c r="IU188" s="14"/>
      <c r="IW188" s="65"/>
      <c r="IX188" s="13"/>
      <c r="IY188" s="14"/>
      <c r="JA188" s="65"/>
      <c r="JB188" s="13"/>
      <c r="JC188" s="14"/>
      <c r="JE188" s="65"/>
      <c r="JF188" s="13"/>
      <c r="JG188" s="14"/>
      <c r="JI188" s="65"/>
      <c r="JJ188" s="13"/>
      <c r="JK188" s="14"/>
      <c r="JM188" s="65"/>
      <c r="JN188" s="13"/>
      <c r="JO188" s="14"/>
      <c r="JQ188" s="65"/>
      <c r="JR188" s="13"/>
      <c r="JS188" s="14"/>
      <c r="JU188" s="65"/>
      <c r="JV188" s="13"/>
      <c r="JW188" s="14"/>
      <c r="JY188" s="65"/>
      <c r="JZ188" s="13"/>
      <c r="KA188" s="14"/>
      <c r="KC188" s="65"/>
      <c r="KD188" s="13"/>
      <c r="KE188" s="14"/>
      <c r="KG188" s="65"/>
      <c r="KH188" s="13"/>
      <c r="KI188" s="14"/>
      <c r="KK188" s="65"/>
      <c r="KL188" s="13"/>
      <c r="KM188" s="14"/>
      <c r="KO188" s="65"/>
      <c r="KP188" s="13"/>
      <c r="KQ188" s="14"/>
      <c r="KS188" s="65"/>
      <c r="KT188" s="13"/>
      <c r="KU188" s="14"/>
      <c r="KW188" s="65"/>
      <c r="KX188" s="13"/>
      <c r="KY188" s="14"/>
      <c r="LA188" s="65"/>
      <c r="LB188" s="13"/>
      <c r="LC188" s="14"/>
      <c r="LE188" s="65"/>
      <c r="LF188" s="13"/>
      <c r="LG188" s="14"/>
      <c r="LI188" s="65"/>
      <c r="LJ188" s="13"/>
      <c r="LK188" s="14"/>
      <c r="LM188" s="65"/>
      <c r="LN188" s="13"/>
      <c r="LO188" s="14"/>
      <c r="LQ188" s="65"/>
      <c r="LR188" s="13"/>
      <c r="LS188" s="14"/>
      <c r="LU188" s="65"/>
      <c r="LV188" s="13"/>
      <c r="LW188" s="14"/>
      <c r="LY188" s="65"/>
      <c r="LZ188" s="13"/>
      <c r="MA188" s="14"/>
      <c r="MC188" s="65"/>
      <c r="MD188" s="13"/>
      <c r="ME188" s="14"/>
      <c r="MG188" s="65"/>
      <c r="MH188" s="13"/>
      <c r="MI188" s="14"/>
      <c r="MK188" s="65"/>
      <c r="ML188" s="13"/>
      <c r="MM188" s="14"/>
      <c r="MO188" s="65"/>
      <c r="MP188" s="13"/>
      <c r="MQ188" s="14"/>
      <c r="MS188" s="65"/>
      <c r="MT188" s="13"/>
      <c r="MU188" s="14"/>
    </row>
    <row r="189" spans="1:359" hidden="1" x14ac:dyDescent="0.25">
      <c r="A189" s="15">
        <f t="shared" si="192"/>
        <v>0</v>
      </c>
      <c r="B189" s="20">
        <v>42883</v>
      </c>
      <c r="C189"/>
      <c r="D189" s="12"/>
      <c r="E189" s="12"/>
      <c r="I189" s="12"/>
      <c r="J189" s="12"/>
      <c r="N189" s="12"/>
      <c r="O189" s="12"/>
      <c r="T189" s="15"/>
      <c r="U189" s="20"/>
      <c r="V189" s="36"/>
      <c r="W189" s="12"/>
      <c r="X189" s="12"/>
      <c r="AB189" s="12"/>
      <c r="AC189" s="12"/>
      <c r="AG189" s="12"/>
      <c r="AH189" s="12"/>
      <c r="AK189" s="12"/>
      <c r="AL189" s="13"/>
      <c r="AM189" s="14"/>
      <c r="CK189" s="65"/>
      <c r="CL189" s="13"/>
      <c r="CO189" s="65"/>
      <c r="CP189" s="13"/>
      <c r="CS189" s="65"/>
      <c r="CT189" s="13"/>
      <c r="CW189" s="65"/>
      <c r="CX189" s="13"/>
      <c r="DA189" s="65"/>
      <c r="DB189" s="13"/>
      <c r="DE189" s="65"/>
      <c r="DF189" s="13"/>
      <c r="DI189" s="65"/>
      <c r="DJ189" s="13"/>
      <c r="DM189" s="65"/>
      <c r="DN189" s="13"/>
      <c r="DQ189" s="65"/>
      <c r="DR189" s="13"/>
      <c r="DU189" s="65"/>
      <c r="DV189" s="13"/>
      <c r="DY189" s="65"/>
      <c r="DZ189" s="13"/>
      <c r="EA189" s="14"/>
      <c r="EC189" s="65"/>
      <c r="ED189" s="13"/>
      <c r="EE189" s="14"/>
      <c r="EG189" s="65"/>
      <c r="EH189" s="13"/>
      <c r="EI189" s="14"/>
      <c r="EK189" s="65"/>
      <c r="EL189" s="13"/>
      <c r="EM189" s="14"/>
      <c r="EO189" s="65"/>
      <c r="EP189" s="13"/>
      <c r="EQ189" s="14"/>
      <c r="ES189" s="65"/>
      <c r="ET189" s="13"/>
      <c r="EU189" s="14"/>
      <c r="EW189" s="65"/>
      <c r="EX189" s="13"/>
      <c r="EY189" s="14"/>
      <c r="FA189" s="65"/>
      <c r="FB189" s="13"/>
      <c r="FC189" s="14"/>
      <c r="FE189" s="65"/>
      <c r="FF189" s="13"/>
      <c r="FG189" s="14"/>
      <c r="FI189" s="65"/>
      <c r="FJ189" s="13"/>
      <c r="FK189" s="14"/>
      <c r="FM189" s="65"/>
      <c r="FN189" s="13"/>
      <c r="FO189" s="14"/>
      <c r="FQ189" s="65"/>
      <c r="FR189" s="13"/>
      <c r="FS189" s="14"/>
      <c r="FU189" s="65"/>
      <c r="FV189" s="13"/>
      <c r="FW189" s="14"/>
      <c r="FY189" s="65"/>
      <c r="FZ189" s="13"/>
      <c r="GA189" s="14"/>
      <c r="GC189" s="65"/>
      <c r="GD189" s="13"/>
      <c r="GE189" s="14"/>
      <c r="GG189" s="65"/>
      <c r="GH189" s="13"/>
      <c r="GI189" s="14"/>
      <c r="GK189" s="65"/>
      <c r="GL189" s="13"/>
      <c r="GM189" s="14"/>
      <c r="GO189" s="65"/>
      <c r="GP189" s="13"/>
      <c r="GQ189" s="14"/>
      <c r="GS189" s="65"/>
      <c r="GT189" s="13"/>
      <c r="GU189" s="14"/>
      <c r="GW189" s="65"/>
      <c r="GX189" s="13"/>
      <c r="GY189" s="14"/>
      <c r="HA189" s="65"/>
      <c r="HB189" s="13"/>
      <c r="HC189" s="14"/>
      <c r="HE189" s="65"/>
      <c r="HF189" s="13"/>
      <c r="HG189" s="14"/>
      <c r="HI189" s="65"/>
      <c r="HJ189" s="13"/>
      <c r="HK189" s="14"/>
      <c r="HM189" s="65"/>
      <c r="HN189" s="13"/>
      <c r="HO189" s="14"/>
      <c r="HQ189" s="65"/>
      <c r="HR189" s="13"/>
      <c r="HS189" s="14"/>
      <c r="HU189" s="65"/>
      <c r="HV189" s="13"/>
      <c r="HW189" s="14"/>
      <c r="HY189" s="65"/>
      <c r="HZ189" s="13"/>
      <c r="IA189" s="14"/>
      <c r="IC189" s="65"/>
      <c r="ID189" s="13"/>
      <c r="IE189" s="14"/>
      <c r="IG189" s="65"/>
      <c r="IH189" s="13"/>
      <c r="II189" s="14"/>
      <c r="IK189" s="65"/>
      <c r="IL189" s="13"/>
      <c r="IM189" s="14"/>
      <c r="IO189" s="65"/>
      <c r="IP189" s="13"/>
      <c r="IQ189" s="14"/>
      <c r="IS189" s="65"/>
      <c r="IT189" s="13"/>
      <c r="IU189" s="14"/>
      <c r="IW189" s="65"/>
      <c r="IX189" s="13"/>
      <c r="IY189" s="14"/>
      <c r="JA189" s="65"/>
      <c r="JB189" s="13"/>
      <c r="JC189" s="14"/>
      <c r="JE189" s="65"/>
      <c r="JF189" s="13"/>
      <c r="JG189" s="14"/>
      <c r="JI189" s="65"/>
      <c r="JJ189" s="13"/>
      <c r="JK189" s="14"/>
      <c r="JM189" s="65"/>
      <c r="JN189" s="13"/>
      <c r="JO189" s="14"/>
      <c r="JQ189" s="65"/>
      <c r="JR189" s="13"/>
      <c r="JS189" s="14"/>
      <c r="JU189" s="65"/>
      <c r="JV189" s="13"/>
      <c r="JW189" s="14"/>
      <c r="JY189" s="65"/>
      <c r="JZ189" s="13"/>
      <c r="KA189" s="14"/>
      <c r="KC189" s="65"/>
      <c r="KD189" s="13"/>
      <c r="KE189" s="14"/>
      <c r="KG189" s="65"/>
      <c r="KH189" s="13"/>
      <c r="KI189" s="14"/>
      <c r="KK189" s="65"/>
      <c r="KL189" s="13"/>
      <c r="KM189" s="14"/>
      <c r="KO189" s="65"/>
      <c r="KP189" s="13"/>
      <c r="KQ189" s="14"/>
      <c r="KS189" s="65"/>
      <c r="KT189" s="13"/>
      <c r="KU189" s="14"/>
      <c r="KW189" s="65"/>
      <c r="KX189" s="13"/>
      <c r="KY189" s="14"/>
      <c r="LA189" s="65"/>
      <c r="LB189" s="13"/>
      <c r="LC189" s="14"/>
      <c r="LE189" s="65"/>
      <c r="LF189" s="13"/>
      <c r="LG189" s="14"/>
      <c r="LI189" s="65"/>
      <c r="LJ189" s="13"/>
      <c r="LK189" s="14"/>
      <c r="LM189" s="65"/>
      <c r="LN189" s="13"/>
      <c r="LO189" s="14"/>
      <c r="LQ189" s="65"/>
      <c r="LR189" s="13"/>
      <c r="LS189" s="14"/>
      <c r="LU189" s="65"/>
      <c r="LV189" s="13"/>
      <c r="LW189" s="14"/>
      <c r="LY189" s="65"/>
      <c r="LZ189" s="13"/>
      <c r="MA189" s="14"/>
      <c r="MC189" s="65"/>
      <c r="MD189" s="13"/>
      <c r="ME189" s="14"/>
      <c r="MG189" s="65"/>
      <c r="MH189" s="13"/>
      <c r="MI189" s="14"/>
      <c r="MK189" s="65"/>
      <c r="ML189" s="13"/>
      <c r="MM189" s="14"/>
      <c r="MO189" s="65"/>
      <c r="MP189" s="13"/>
      <c r="MQ189" s="14"/>
      <c r="MS189" s="65"/>
      <c r="MT189" s="13"/>
      <c r="MU189" s="14"/>
    </row>
    <row r="190" spans="1:359" hidden="1" x14ac:dyDescent="0.25">
      <c r="A190" s="15">
        <f t="shared" si="192"/>
        <v>0</v>
      </c>
      <c r="B190" s="20">
        <v>42884</v>
      </c>
      <c r="C190"/>
      <c r="D190" s="12"/>
      <c r="E190" s="12"/>
      <c r="I190" s="12"/>
      <c r="J190" s="12"/>
      <c r="N190" s="12"/>
      <c r="O190" s="12"/>
      <c r="T190" s="15"/>
      <c r="U190" s="20"/>
      <c r="V190" s="36"/>
      <c r="W190" s="12"/>
      <c r="X190" s="12"/>
      <c r="AB190" s="12"/>
      <c r="AC190" s="12"/>
      <c r="AG190" s="12"/>
      <c r="AH190" s="12"/>
      <c r="AK190" s="12"/>
      <c r="AL190" s="13"/>
      <c r="AM190" s="14"/>
      <c r="CK190" s="65"/>
      <c r="CL190" s="13"/>
      <c r="CO190" s="65"/>
      <c r="CP190" s="13"/>
      <c r="CS190" s="65"/>
      <c r="CT190" s="13"/>
      <c r="CW190" s="65"/>
      <c r="CX190" s="13"/>
      <c r="DA190" s="65"/>
      <c r="DB190" s="13"/>
      <c r="DE190" s="65"/>
      <c r="DF190" s="13"/>
      <c r="DI190" s="65"/>
      <c r="DJ190" s="13"/>
      <c r="DM190" s="65"/>
      <c r="DN190" s="13"/>
      <c r="DQ190" s="65"/>
      <c r="DR190" s="13"/>
      <c r="DU190" s="65"/>
      <c r="DV190" s="13"/>
      <c r="DY190" s="65"/>
      <c r="DZ190" s="13"/>
      <c r="EA190" s="14"/>
      <c r="EC190" s="65"/>
      <c r="ED190" s="13"/>
      <c r="EE190" s="14"/>
      <c r="EG190" s="65"/>
      <c r="EH190" s="13"/>
      <c r="EI190" s="14"/>
      <c r="EK190" s="65"/>
      <c r="EL190" s="13"/>
      <c r="EM190" s="14"/>
      <c r="EO190" s="65"/>
      <c r="EP190" s="13"/>
      <c r="EQ190" s="14"/>
      <c r="ES190" s="65"/>
      <c r="ET190" s="13"/>
      <c r="EU190" s="14"/>
      <c r="EW190" s="65"/>
      <c r="EX190" s="13"/>
      <c r="EY190" s="14"/>
      <c r="FA190" s="65"/>
      <c r="FB190" s="13"/>
      <c r="FC190" s="14"/>
      <c r="FE190" s="65"/>
      <c r="FF190" s="13"/>
      <c r="FG190" s="14"/>
      <c r="FI190" s="65"/>
      <c r="FJ190" s="13"/>
      <c r="FK190" s="14"/>
      <c r="FM190" s="65"/>
      <c r="FN190" s="13"/>
      <c r="FO190" s="14"/>
      <c r="FQ190" s="65"/>
      <c r="FR190" s="13"/>
      <c r="FS190" s="14"/>
      <c r="FU190" s="65"/>
      <c r="FV190" s="13"/>
      <c r="FW190" s="14"/>
      <c r="FY190" s="65"/>
      <c r="FZ190" s="13"/>
      <c r="GA190" s="14"/>
      <c r="GC190" s="65"/>
      <c r="GD190" s="13"/>
      <c r="GE190" s="14"/>
      <c r="GG190" s="65"/>
      <c r="GH190" s="13"/>
      <c r="GI190" s="14"/>
      <c r="GK190" s="65"/>
      <c r="GL190" s="13"/>
      <c r="GM190" s="14"/>
      <c r="GO190" s="65"/>
      <c r="GP190" s="13"/>
      <c r="GQ190" s="14"/>
      <c r="GS190" s="65"/>
      <c r="GT190" s="13"/>
      <c r="GU190" s="14"/>
      <c r="GW190" s="65"/>
      <c r="GX190" s="13"/>
      <c r="GY190" s="14"/>
      <c r="HA190" s="65"/>
      <c r="HB190" s="13"/>
      <c r="HC190" s="14"/>
      <c r="HE190" s="65"/>
      <c r="HF190" s="13"/>
      <c r="HG190" s="14"/>
      <c r="HI190" s="65"/>
      <c r="HJ190" s="13"/>
      <c r="HK190" s="14"/>
      <c r="HM190" s="65"/>
      <c r="HN190" s="13"/>
      <c r="HO190" s="14"/>
      <c r="HQ190" s="65"/>
      <c r="HR190" s="13"/>
      <c r="HS190" s="14"/>
      <c r="HU190" s="65"/>
      <c r="HV190" s="13"/>
      <c r="HW190" s="14"/>
      <c r="HY190" s="65"/>
      <c r="HZ190" s="13"/>
      <c r="IA190" s="14"/>
      <c r="IC190" s="65"/>
      <c r="ID190" s="13"/>
      <c r="IE190" s="14"/>
      <c r="IG190" s="65"/>
      <c r="IH190" s="13"/>
      <c r="II190" s="14"/>
      <c r="IK190" s="65"/>
      <c r="IL190" s="13"/>
      <c r="IM190" s="14"/>
      <c r="IO190" s="65"/>
      <c r="IP190" s="13"/>
      <c r="IQ190" s="14"/>
      <c r="IS190" s="65"/>
      <c r="IT190" s="13"/>
      <c r="IU190" s="14"/>
      <c r="IW190" s="65"/>
      <c r="IX190" s="13"/>
      <c r="IY190" s="14"/>
      <c r="JA190" s="65"/>
      <c r="JB190" s="13"/>
      <c r="JC190" s="14"/>
      <c r="JE190" s="65"/>
      <c r="JF190" s="13"/>
      <c r="JG190" s="14"/>
      <c r="JI190" s="65"/>
      <c r="JJ190" s="13"/>
      <c r="JK190" s="14"/>
      <c r="JM190" s="65"/>
      <c r="JN190" s="13"/>
      <c r="JO190" s="14"/>
      <c r="JQ190" s="65"/>
      <c r="JR190" s="13"/>
      <c r="JS190" s="14"/>
      <c r="JU190" s="65"/>
      <c r="JV190" s="13"/>
      <c r="JW190" s="14"/>
      <c r="JY190" s="65"/>
      <c r="JZ190" s="13"/>
      <c r="KA190" s="14"/>
      <c r="KC190" s="65"/>
      <c r="KD190" s="13"/>
      <c r="KE190" s="14"/>
      <c r="KG190" s="65"/>
      <c r="KH190" s="13"/>
      <c r="KI190" s="14"/>
      <c r="KK190" s="65"/>
      <c r="KL190" s="13"/>
      <c r="KM190" s="14"/>
      <c r="KO190" s="65"/>
      <c r="KP190" s="13"/>
      <c r="KQ190" s="14"/>
      <c r="KS190" s="65"/>
      <c r="KT190" s="13"/>
      <c r="KU190" s="14"/>
      <c r="KW190" s="65"/>
      <c r="KX190" s="13"/>
      <c r="KY190" s="14"/>
      <c r="LA190" s="65"/>
      <c r="LB190" s="13"/>
      <c r="LC190" s="14"/>
      <c r="LE190" s="65"/>
      <c r="LF190" s="13"/>
      <c r="LG190" s="14"/>
      <c r="LI190" s="65"/>
      <c r="LJ190" s="13"/>
      <c r="LK190" s="14"/>
      <c r="LM190" s="65"/>
      <c r="LN190" s="13"/>
      <c r="LO190" s="14"/>
      <c r="LQ190" s="65"/>
      <c r="LR190" s="13"/>
      <c r="LS190" s="14"/>
      <c r="LU190" s="65"/>
      <c r="LV190" s="13"/>
      <c r="LW190" s="14"/>
      <c r="LY190" s="65"/>
      <c r="LZ190" s="13"/>
      <c r="MA190" s="14"/>
      <c r="MC190" s="65"/>
      <c r="MD190" s="13"/>
      <c r="ME190" s="14"/>
      <c r="MG190" s="65"/>
      <c r="MH190" s="13"/>
      <c r="MI190" s="14"/>
      <c r="MK190" s="65"/>
      <c r="ML190" s="13"/>
      <c r="MM190" s="14"/>
      <c r="MO190" s="65"/>
      <c r="MP190" s="13"/>
      <c r="MQ190" s="14"/>
      <c r="MS190" s="65"/>
      <c r="MT190" s="13"/>
      <c r="MU190" s="14"/>
    </row>
    <row r="191" spans="1:359" hidden="1" x14ac:dyDescent="0.25">
      <c r="A191" s="15">
        <f t="shared" si="192"/>
        <v>0</v>
      </c>
      <c r="B191" s="20">
        <v>42885</v>
      </c>
      <c r="C191"/>
      <c r="D191" s="12"/>
      <c r="E191" s="12"/>
      <c r="I191" s="12"/>
      <c r="J191" s="12"/>
      <c r="N191" s="12"/>
      <c r="O191" s="12"/>
      <c r="T191" s="15"/>
      <c r="U191" s="20"/>
      <c r="V191" s="36"/>
      <c r="W191" s="12"/>
      <c r="X191" s="12"/>
      <c r="AB191" s="12"/>
      <c r="AC191" s="12"/>
      <c r="AG191" s="12"/>
      <c r="AH191" s="12"/>
      <c r="AK191" s="12"/>
      <c r="AL191" s="13"/>
      <c r="AM191" s="14"/>
      <c r="CK191" s="65"/>
      <c r="CL191" s="13"/>
      <c r="CO191" s="65"/>
      <c r="CP191" s="13"/>
      <c r="CS191" s="65"/>
      <c r="CT191" s="13"/>
      <c r="CW191" s="65"/>
      <c r="CX191" s="13"/>
      <c r="DA191" s="65"/>
      <c r="DB191" s="13"/>
      <c r="DE191" s="65"/>
      <c r="DF191" s="13"/>
      <c r="DI191" s="65"/>
      <c r="DJ191" s="13"/>
      <c r="DM191" s="65"/>
      <c r="DN191" s="13"/>
      <c r="DQ191" s="65"/>
      <c r="DR191" s="13"/>
      <c r="DU191" s="65"/>
      <c r="DV191" s="13"/>
      <c r="DY191" s="65"/>
      <c r="DZ191" s="13"/>
      <c r="EA191" s="14"/>
      <c r="EC191" s="65"/>
      <c r="ED191" s="13"/>
      <c r="EE191" s="14"/>
      <c r="EG191" s="65"/>
      <c r="EH191" s="13"/>
      <c r="EI191" s="14"/>
      <c r="EK191" s="65"/>
      <c r="EL191" s="13"/>
      <c r="EM191" s="14"/>
      <c r="EO191" s="65"/>
      <c r="EP191" s="13"/>
      <c r="EQ191" s="14"/>
      <c r="ES191" s="65"/>
      <c r="ET191" s="13"/>
      <c r="EU191" s="14"/>
      <c r="EW191" s="65"/>
      <c r="EX191" s="13"/>
      <c r="EY191" s="14"/>
      <c r="FA191" s="65"/>
      <c r="FB191" s="13"/>
      <c r="FC191" s="14"/>
      <c r="FE191" s="65"/>
      <c r="FF191" s="13"/>
      <c r="FG191" s="14"/>
      <c r="FI191" s="65"/>
      <c r="FJ191" s="13"/>
      <c r="FK191" s="14"/>
      <c r="FM191" s="65"/>
      <c r="FN191" s="13"/>
      <c r="FO191" s="14"/>
      <c r="FQ191" s="65"/>
      <c r="FR191" s="13"/>
      <c r="FS191" s="14"/>
      <c r="FU191" s="65"/>
      <c r="FV191" s="13"/>
      <c r="FW191" s="14"/>
      <c r="FY191" s="65"/>
      <c r="FZ191" s="13"/>
      <c r="GA191" s="14"/>
      <c r="GC191" s="65"/>
      <c r="GD191" s="13"/>
      <c r="GE191" s="14"/>
      <c r="GG191" s="65"/>
      <c r="GH191" s="13"/>
      <c r="GI191" s="14"/>
      <c r="GK191" s="65"/>
      <c r="GL191" s="13"/>
      <c r="GM191" s="14"/>
      <c r="GO191" s="65"/>
      <c r="GP191" s="13"/>
      <c r="GQ191" s="14"/>
      <c r="GS191" s="65"/>
      <c r="GT191" s="13"/>
      <c r="GU191" s="14"/>
      <c r="GW191" s="65"/>
      <c r="GX191" s="13"/>
      <c r="GY191" s="14"/>
      <c r="HA191" s="65"/>
      <c r="HB191" s="13"/>
      <c r="HC191" s="14"/>
      <c r="HE191" s="65"/>
      <c r="HF191" s="13"/>
      <c r="HG191" s="14"/>
      <c r="HI191" s="65"/>
      <c r="HJ191" s="13"/>
      <c r="HK191" s="14"/>
      <c r="HM191" s="65"/>
      <c r="HN191" s="13"/>
      <c r="HO191" s="14"/>
      <c r="HQ191" s="65"/>
      <c r="HR191" s="13"/>
      <c r="HS191" s="14"/>
      <c r="HU191" s="65"/>
      <c r="HV191" s="13"/>
      <c r="HW191" s="14"/>
      <c r="HY191" s="65"/>
      <c r="HZ191" s="13"/>
      <c r="IA191" s="14"/>
      <c r="IC191" s="65"/>
      <c r="ID191" s="13"/>
      <c r="IE191" s="14"/>
      <c r="IG191" s="65"/>
      <c r="IH191" s="13"/>
      <c r="II191" s="14"/>
      <c r="IK191" s="65"/>
      <c r="IL191" s="13"/>
      <c r="IM191" s="14"/>
      <c r="IO191" s="65"/>
      <c r="IP191" s="13"/>
      <c r="IQ191" s="14"/>
      <c r="IS191" s="65"/>
      <c r="IT191" s="13"/>
      <c r="IU191" s="14"/>
      <c r="IW191" s="65"/>
      <c r="IX191" s="13"/>
      <c r="IY191" s="14"/>
      <c r="JA191" s="65"/>
      <c r="JB191" s="13"/>
      <c r="JC191" s="14"/>
      <c r="JE191" s="65"/>
      <c r="JF191" s="13"/>
      <c r="JG191" s="14"/>
      <c r="JI191" s="65"/>
      <c r="JJ191" s="13"/>
      <c r="JK191" s="14"/>
      <c r="JM191" s="65"/>
      <c r="JN191" s="13"/>
      <c r="JO191" s="14"/>
      <c r="JQ191" s="65"/>
      <c r="JR191" s="13"/>
      <c r="JS191" s="14"/>
      <c r="JU191" s="65"/>
      <c r="JV191" s="13"/>
      <c r="JW191" s="14"/>
      <c r="JY191" s="65"/>
      <c r="JZ191" s="13"/>
      <c r="KA191" s="14"/>
      <c r="KC191" s="65"/>
      <c r="KD191" s="13"/>
      <c r="KE191" s="14"/>
      <c r="KG191" s="65"/>
      <c r="KH191" s="13"/>
      <c r="KI191" s="14"/>
      <c r="KK191" s="65"/>
      <c r="KL191" s="13"/>
      <c r="KM191" s="14"/>
      <c r="KO191" s="65"/>
      <c r="KP191" s="13"/>
      <c r="KQ191" s="14"/>
      <c r="KS191" s="65"/>
      <c r="KT191" s="13"/>
      <c r="KU191" s="14"/>
      <c r="KW191" s="65"/>
      <c r="KX191" s="13"/>
      <c r="KY191" s="14"/>
      <c r="LA191" s="65"/>
      <c r="LB191" s="13"/>
      <c r="LC191" s="14"/>
      <c r="LE191" s="65"/>
      <c r="LF191" s="13"/>
      <c r="LG191" s="14"/>
      <c r="LI191" s="65"/>
      <c r="LJ191" s="13"/>
      <c r="LK191" s="14"/>
      <c r="LM191" s="65"/>
      <c r="LN191" s="13"/>
      <c r="LO191" s="14"/>
      <c r="LQ191" s="65"/>
      <c r="LR191" s="13"/>
      <c r="LS191" s="14"/>
      <c r="LU191" s="65"/>
      <c r="LV191" s="13"/>
      <c r="LW191" s="14"/>
      <c r="LY191" s="65"/>
      <c r="LZ191" s="13"/>
      <c r="MA191" s="14"/>
      <c r="MC191" s="65"/>
      <c r="MD191" s="13"/>
      <c r="ME191" s="14"/>
      <c r="MG191" s="65"/>
      <c r="MH191" s="13"/>
      <c r="MI191" s="14"/>
      <c r="MK191" s="65"/>
      <c r="ML191" s="13"/>
      <c r="MM191" s="14"/>
      <c r="MO191" s="65"/>
      <c r="MP191" s="13"/>
      <c r="MQ191" s="14"/>
      <c r="MS191" s="65"/>
      <c r="MT191" s="13"/>
      <c r="MU191" s="14"/>
    </row>
    <row r="192" spans="1:359" hidden="1" x14ac:dyDescent="0.25">
      <c r="A192" s="15">
        <f t="shared" si="192"/>
        <v>0</v>
      </c>
      <c r="B192" s="20">
        <v>42886</v>
      </c>
      <c r="C192"/>
      <c r="D192" s="12"/>
      <c r="E192" s="12"/>
      <c r="I192" s="12"/>
      <c r="J192" s="12"/>
      <c r="N192" s="12"/>
      <c r="O192" s="12"/>
      <c r="T192" s="15"/>
      <c r="U192" s="20"/>
      <c r="V192" s="36"/>
      <c r="W192" s="12"/>
      <c r="X192" s="12"/>
      <c r="AB192" s="12"/>
      <c r="AC192" s="12"/>
      <c r="AG192" s="12"/>
      <c r="AH192" s="12"/>
      <c r="AK192" s="12"/>
      <c r="AL192" s="13"/>
      <c r="AM192" s="14"/>
      <c r="CK192" s="65"/>
      <c r="CL192" s="13"/>
      <c r="CO192" s="65"/>
      <c r="CP192" s="13"/>
      <c r="CS192" s="65"/>
      <c r="CT192" s="13"/>
      <c r="CW192" s="65"/>
      <c r="CX192" s="13"/>
      <c r="DA192" s="65"/>
      <c r="DB192" s="13"/>
      <c r="DE192" s="65"/>
      <c r="DF192" s="13"/>
      <c r="DI192" s="65"/>
      <c r="DJ192" s="13"/>
      <c r="DM192" s="65"/>
      <c r="DN192" s="13"/>
      <c r="DQ192" s="65"/>
      <c r="DR192" s="13"/>
      <c r="DU192" s="65"/>
      <c r="DV192" s="13"/>
      <c r="DY192" s="65"/>
      <c r="DZ192" s="13"/>
      <c r="EA192" s="14"/>
      <c r="EC192" s="65"/>
      <c r="ED192" s="13"/>
      <c r="EE192" s="14"/>
      <c r="EG192" s="65"/>
      <c r="EH192" s="13"/>
      <c r="EI192" s="14"/>
      <c r="EK192" s="65"/>
      <c r="EL192" s="13"/>
      <c r="EM192" s="14"/>
      <c r="EO192" s="65"/>
      <c r="EP192" s="13"/>
      <c r="EQ192" s="14"/>
      <c r="ES192" s="65"/>
      <c r="ET192" s="13"/>
      <c r="EU192" s="14"/>
      <c r="EW192" s="65"/>
      <c r="EX192" s="13"/>
      <c r="EY192" s="14"/>
      <c r="FA192" s="65"/>
      <c r="FB192" s="13"/>
      <c r="FC192" s="14"/>
      <c r="FE192" s="65"/>
      <c r="FF192" s="13"/>
      <c r="FG192" s="14"/>
      <c r="FI192" s="65"/>
      <c r="FJ192" s="13"/>
      <c r="FK192" s="14"/>
      <c r="FM192" s="65"/>
      <c r="FN192" s="13"/>
      <c r="FO192" s="14"/>
      <c r="FQ192" s="65"/>
      <c r="FR192" s="13"/>
      <c r="FS192" s="14"/>
      <c r="FU192" s="65"/>
      <c r="FV192" s="13"/>
      <c r="FW192" s="14"/>
      <c r="FY192" s="65"/>
      <c r="FZ192" s="13"/>
      <c r="GA192" s="14"/>
      <c r="GC192" s="65"/>
      <c r="GD192" s="13"/>
      <c r="GE192" s="14"/>
      <c r="GG192" s="65"/>
      <c r="GH192" s="13"/>
      <c r="GI192" s="14"/>
      <c r="GK192" s="65"/>
      <c r="GL192" s="13"/>
      <c r="GM192" s="14"/>
      <c r="GO192" s="65"/>
      <c r="GP192" s="13"/>
      <c r="GQ192" s="14"/>
      <c r="GS192" s="65"/>
      <c r="GT192" s="13"/>
      <c r="GU192" s="14"/>
      <c r="GW192" s="65"/>
      <c r="GX192" s="13"/>
      <c r="GY192" s="14"/>
      <c r="HA192" s="65"/>
      <c r="HB192" s="13"/>
      <c r="HC192" s="14"/>
      <c r="HE192" s="65"/>
      <c r="HF192" s="13"/>
      <c r="HG192" s="14"/>
      <c r="HI192" s="65"/>
      <c r="HJ192" s="13"/>
      <c r="HK192" s="14"/>
      <c r="HM192" s="65"/>
      <c r="HN192" s="13"/>
      <c r="HO192" s="14"/>
      <c r="HQ192" s="65"/>
      <c r="HR192" s="13"/>
      <c r="HS192" s="14"/>
      <c r="HU192" s="65"/>
      <c r="HV192" s="13"/>
      <c r="HW192" s="14"/>
      <c r="HY192" s="65"/>
      <c r="HZ192" s="13"/>
      <c r="IA192" s="14"/>
      <c r="IC192" s="65"/>
      <c r="ID192" s="13"/>
      <c r="IE192" s="14"/>
      <c r="IG192" s="65"/>
      <c r="IH192" s="13"/>
      <c r="II192" s="14"/>
      <c r="IK192" s="65"/>
      <c r="IL192" s="13"/>
      <c r="IM192" s="14"/>
      <c r="IO192" s="65"/>
      <c r="IP192" s="13"/>
      <c r="IQ192" s="14"/>
      <c r="IS192" s="65"/>
      <c r="IT192" s="13"/>
      <c r="IU192" s="14"/>
      <c r="IW192" s="65"/>
      <c r="IX192" s="13"/>
      <c r="IY192" s="14"/>
      <c r="JA192" s="65"/>
      <c r="JB192" s="13"/>
      <c r="JC192" s="14"/>
      <c r="JE192" s="65"/>
      <c r="JF192" s="13"/>
      <c r="JG192" s="14"/>
      <c r="JI192" s="65"/>
      <c r="JJ192" s="13"/>
      <c r="JK192" s="14"/>
      <c r="JM192" s="65"/>
      <c r="JN192" s="13"/>
      <c r="JO192" s="14"/>
      <c r="JQ192" s="65"/>
      <c r="JR192" s="13"/>
      <c r="JS192" s="14"/>
      <c r="JU192" s="65"/>
      <c r="JV192" s="13"/>
      <c r="JW192" s="14"/>
      <c r="JY192" s="65"/>
      <c r="JZ192" s="13"/>
      <c r="KA192" s="14"/>
      <c r="KC192" s="65"/>
      <c r="KD192" s="13"/>
      <c r="KE192" s="14"/>
      <c r="KG192" s="65"/>
      <c r="KH192" s="13"/>
      <c r="KI192" s="14"/>
      <c r="KK192" s="65"/>
      <c r="KL192" s="13"/>
      <c r="KM192" s="14"/>
      <c r="KO192" s="65"/>
      <c r="KP192" s="13"/>
      <c r="KQ192" s="14"/>
      <c r="KS192" s="65"/>
      <c r="KT192" s="13"/>
      <c r="KU192" s="14"/>
      <c r="KW192" s="65"/>
      <c r="KX192" s="13"/>
      <c r="KY192" s="14"/>
      <c r="LA192" s="65"/>
      <c r="LB192" s="13"/>
      <c r="LC192" s="14"/>
      <c r="LE192" s="65"/>
      <c r="LF192" s="13"/>
      <c r="LG192" s="14"/>
      <c r="LI192" s="65"/>
      <c r="LJ192" s="13"/>
      <c r="LK192" s="14"/>
      <c r="LM192" s="65"/>
      <c r="LN192" s="13"/>
      <c r="LO192" s="14"/>
      <c r="LQ192" s="65"/>
      <c r="LR192" s="13"/>
      <c r="LS192" s="14"/>
      <c r="LU192" s="65"/>
      <c r="LV192" s="13"/>
      <c r="LW192" s="14"/>
      <c r="LY192" s="65"/>
      <c r="LZ192" s="13"/>
      <c r="MA192" s="14"/>
      <c r="MC192" s="65"/>
      <c r="MD192" s="13"/>
      <c r="ME192" s="14"/>
      <c r="MG192" s="65"/>
      <c r="MH192" s="13"/>
      <c r="MI192" s="14"/>
      <c r="MK192" s="65"/>
      <c r="ML192" s="13"/>
      <c r="MM192" s="14"/>
      <c r="MO192" s="65"/>
      <c r="MP192" s="13"/>
      <c r="MQ192" s="14"/>
      <c r="MS192" s="65"/>
      <c r="MT192" s="13"/>
      <c r="MU192" s="14"/>
    </row>
    <row r="193" spans="1:359" hidden="1" x14ac:dyDescent="0.25">
      <c r="A193" s="15">
        <f t="shared" si="192"/>
        <v>0</v>
      </c>
      <c r="B193" s="20">
        <v>42887</v>
      </c>
      <c r="C193"/>
      <c r="D193" s="12"/>
      <c r="E193" s="12"/>
      <c r="I193" s="12"/>
      <c r="J193" s="12"/>
      <c r="N193" s="12"/>
      <c r="O193" s="12"/>
      <c r="T193" s="15"/>
      <c r="U193" s="20"/>
      <c r="V193" s="36"/>
      <c r="W193" s="12"/>
      <c r="X193" s="12"/>
      <c r="AB193" s="12"/>
      <c r="AC193" s="12"/>
      <c r="AG193" s="12"/>
      <c r="AH193" s="12"/>
      <c r="AK193" s="12"/>
      <c r="AL193" s="13"/>
      <c r="AM193" s="14"/>
      <c r="CK193" s="65"/>
      <c r="CL193" s="13"/>
      <c r="CO193" s="65"/>
      <c r="CP193" s="13"/>
      <c r="CS193" s="65"/>
      <c r="CT193" s="13"/>
      <c r="CW193" s="65"/>
      <c r="CX193" s="13"/>
      <c r="DA193" s="65"/>
      <c r="DB193" s="13"/>
      <c r="DE193" s="65"/>
      <c r="DF193" s="13"/>
      <c r="DI193" s="65"/>
      <c r="DJ193" s="13"/>
      <c r="DM193" s="65"/>
      <c r="DN193" s="13"/>
      <c r="DQ193" s="65"/>
      <c r="DR193" s="13"/>
      <c r="DU193" s="65"/>
      <c r="DV193" s="13"/>
      <c r="DY193" s="65"/>
      <c r="DZ193" s="13"/>
      <c r="EA193" s="14"/>
      <c r="EC193" s="65"/>
      <c r="ED193" s="13"/>
      <c r="EE193" s="14"/>
      <c r="EG193" s="65"/>
      <c r="EH193" s="13"/>
      <c r="EI193" s="14"/>
      <c r="EK193" s="65"/>
      <c r="EL193" s="13"/>
      <c r="EM193" s="14"/>
      <c r="EO193" s="65"/>
      <c r="EP193" s="13"/>
      <c r="EQ193" s="14"/>
      <c r="ES193" s="65"/>
      <c r="ET193" s="13"/>
      <c r="EU193" s="14"/>
      <c r="EW193" s="65"/>
      <c r="EX193" s="13"/>
      <c r="EY193" s="14"/>
      <c r="FA193" s="65"/>
      <c r="FB193" s="13"/>
      <c r="FC193" s="14"/>
      <c r="FE193" s="65"/>
      <c r="FF193" s="13"/>
      <c r="FG193" s="14"/>
      <c r="FI193" s="65"/>
      <c r="FJ193" s="13"/>
      <c r="FK193" s="14"/>
      <c r="FM193" s="65"/>
      <c r="FN193" s="13"/>
      <c r="FO193" s="14"/>
      <c r="FQ193" s="65"/>
      <c r="FR193" s="13"/>
      <c r="FS193" s="14"/>
      <c r="FU193" s="65"/>
      <c r="FV193" s="13"/>
      <c r="FW193" s="14"/>
      <c r="FY193" s="65"/>
      <c r="FZ193" s="13"/>
      <c r="GA193" s="14"/>
      <c r="GC193" s="65"/>
      <c r="GD193" s="13"/>
      <c r="GE193" s="14"/>
      <c r="GG193" s="65"/>
      <c r="GH193" s="13"/>
      <c r="GI193" s="14"/>
      <c r="GK193" s="65"/>
      <c r="GL193" s="13"/>
      <c r="GM193" s="14"/>
      <c r="GO193" s="65"/>
      <c r="GP193" s="13"/>
      <c r="GQ193" s="14"/>
      <c r="GS193" s="65"/>
      <c r="GT193" s="13"/>
      <c r="GU193" s="14"/>
      <c r="GW193" s="65"/>
      <c r="GX193" s="13"/>
      <c r="GY193" s="14"/>
      <c r="HA193" s="65"/>
      <c r="HB193" s="13"/>
      <c r="HC193" s="14"/>
      <c r="HE193" s="65"/>
      <c r="HF193" s="13"/>
      <c r="HG193" s="14"/>
      <c r="HI193" s="65"/>
      <c r="HJ193" s="13"/>
      <c r="HK193" s="14"/>
      <c r="HM193" s="65"/>
      <c r="HN193" s="13"/>
      <c r="HO193" s="14"/>
      <c r="HQ193" s="65"/>
      <c r="HR193" s="13"/>
      <c r="HS193" s="14"/>
      <c r="HU193" s="65"/>
      <c r="HV193" s="13"/>
      <c r="HW193" s="14"/>
      <c r="HY193" s="65"/>
      <c r="HZ193" s="13"/>
      <c r="IA193" s="14"/>
      <c r="IC193" s="65"/>
      <c r="ID193" s="13"/>
      <c r="IE193" s="14"/>
      <c r="IG193" s="65"/>
      <c r="IH193" s="13"/>
      <c r="II193" s="14"/>
      <c r="IK193" s="65"/>
      <c r="IL193" s="13"/>
      <c r="IM193" s="14"/>
      <c r="IO193" s="65"/>
      <c r="IP193" s="13"/>
      <c r="IQ193" s="14"/>
      <c r="IS193" s="65"/>
      <c r="IT193" s="13"/>
      <c r="IU193" s="14"/>
      <c r="IW193" s="65"/>
      <c r="IX193" s="13"/>
      <c r="IY193" s="14"/>
      <c r="JA193" s="65"/>
      <c r="JB193" s="13"/>
      <c r="JC193" s="14"/>
      <c r="JE193" s="65"/>
      <c r="JF193" s="13"/>
      <c r="JG193" s="14"/>
      <c r="JI193" s="65"/>
      <c r="JJ193" s="13"/>
      <c r="JK193" s="14"/>
      <c r="JM193" s="65"/>
      <c r="JN193" s="13"/>
      <c r="JO193" s="14"/>
      <c r="JQ193" s="65"/>
      <c r="JR193" s="13"/>
      <c r="JS193" s="14"/>
      <c r="JU193" s="65"/>
      <c r="JV193" s="13"/>
      <c r="JW193" s="14"/>
      <c r="JY193" s="65"/>
      <c r="JZ193" s="13"/>
      <c r="KA193" s="14"/>
      <c r="KC193" s="65"/>
      <c r="KD193" s="13"/>
      <c r="KE193" s="14"/>
      <c r="KG193" s="65"/>
      <c r="KH193" s="13"/>
      <c r="KI193" s="14"/>
      <c r="KK193" s="65"/>
      <c r="KL193" s="13"/>
      <c r="KM193" s="14"/>
      <c r="KO193" s="65"/>
      <c r="KP193" s="13"/>
      <c r="KQ193" s="14"/>
      <c r="KS193" s="65"/>
      <c r="KT193" s="13"/>
      <c r="KU193" s="14"/>
      <c r="KW193" s="65"/>
      <c r="KX193" s="13"/>
      <c r="KY193" s="14"/>
      <c r="LA193" s="65"/>
      <c r="LB193" s="13"/>
      <c r="LC193" s="14"/>
      <c r="LE193" s="65"/>
      <c r="LF193" s="13"/>
      <c r="LG193" s="14"/>
      <c r="LI193" s="65"/>
      <c r="LJ193" s="13"/>
      <c r="LK193" s="14"/>
      <c r="LM193" s="65"/>
      <c r="LN193" s="13"/>
      <c r="LO193" s="14"/>
      <c r="LQ193" s="65"/>
      <c r="LR193" s="13"/>
      <c r="LS193" s="14"/>
      <c r="LU193" s="65"/>
      <c r="LV193" s="13"/>
      <c r="LW193" s="14"/>
      <c r="LY193" s="65"/>
      <c r="LZ193" s="13"/>
      <c r="MA193" s="14"/>
      <c r="MC193" s="65"/>
      <c r="MD193" s="13"/>
      <c r="ME193" s="14"/>
      <c r="MG193" s="65"/>
      <c r="MH193" s="13"/>
      <c r="MI193" s="14"/>
      <c r="MK193" s="65"/>
      <c r="ML193" s="13"/>
      <c r="MM193" s="14"/>
      <c r="MO193" s="65"/>
      <c r="MP193" s="13"/>
      <c r="MQ193" s="14"/>
      <c r="MS193" s="65"/>
      <c r="MT193" s="13"/>
      <c r="MU193" s="14"/>
    </row>
    <row r="194" spans="1:359" hidden="1" x14ac:dyDescent="0.25">
      <c r="A194" s="15">
        <f t="shared" si="192"/>
        <v>0</v>
      </c>
      <c r="B194" s="20">
        <v>42888</v>
      </c>
      <c r="C194"/>
      <c r="D194" s="12"/>
      <c r="E194" s="12"/>
      <c r="I194" s="12"/>
      <c r="J194" s="12"/>
      <c r="N194" s="12"/>
      <c r="O194" s="12"/>
      <c r="T194" s="15"/>
      <c r="U194" s="20"/>
      <c r="V194" s="36"/>
      <c r="W194" s="12"/>
      <c r="X194" s="12"/>
      <c r="AB194" s="12"/>
      <c r="AC194" s="12"/>
      <c r="AG194" s="12"/>
      <c r="AH194" s="12"/>
      <c r="AK194" s="12"/>
      <c r="AL194" s="13"/>
      <c r="AM194" s="14"/>
      <c r="CK194" s="65"/>
      <c r="CL194" s="13"/>
      <c r="CO194" s="65"/>
      <c r="CP194" s="13"/>
      <c r="CS194" s="65"/>
      <c r="CT194" s="13"/>
      <c r="CW194" s="65"/>
      <c r="CX194" s="13"/>
      <c r="DA194" s="65"/>
      <c r="DB194" s="13"/>
      <c r="DE194" s="65"/>
      <c r="DF194" s="13"/>
      <c r="DI194" s="65"/>
      <c r="DJ194" s="13"/>
      <c r="DM194" s="65"/>
      <c r="DN194" s="13"/>
      <c r="DQ194" s="65"/>
      <c r="DR194" s="13"/>
      <c r="DU194" s="65"/>
      <c r="DV194" s="13"/>
      <c r="DY194" s="65"/>
      <c r="DZ194" s="13"/>
      <c r="EA194" s="14"/>
      <c r="EC194" s="65"/>
      <c r="ED194" s="13"/>
      <c r="EE194" s="14"/>
      <c r="EG194" s="65"/>
      <c r="EH194" s="13"/>
      <c r="EI194" s="14"/>
      <c r="EK194" s="65"/>
      <c r="EL194" s="13"/>
      <c r="EM194" s="14"/>
      <c r="EO194" s="65"/>
      <c r="EP194" s="13"/>
      <c r="EQ194" s="14"/>
      <c r="ES194" s="65"/>
      <c r="ET194" s="13"/>
      <c r="EU194" s="14"/>
      <c r="EW194" s="65"/>
      <c r="EX194" s="13"/>
      <c r="EY194" s="14"/>
      <c r="FA194" s="65"/>
      <c r="FB194" s="13"/>
      <c r="FC194" s="14"/>
      <c r="FE194" s="65"/>
      <c r="FF194" s="13"/>
      <c r="FG194" s="14"/>
      <c r="FI194" s="65"/>
      <c r="FJ194" s="13"/>
      <c r="FK194" s="14"/>
      <c r="FM194" s="65"/>
      <c r="FN194" s="13"/>
      <c r="FO194" s="14"/>
      <c r="FQ194" s="65"/>
      <c r="FR194" s="13"/>
      <c r="FS194" s="14"/>
      <c r="FU194" s="65"/>
      <c r="FV194" s="13"/>
      <c r="FW194" s="14"/>
      <c r="FY194" s="65"/>
      <c r="FZ194" s="13"/>
      <c r="GA194" s="14"/>
      <c r="GC194" s="65"/>
      <c r="GD194" s="13"/>
      <c r="GE194" s="14"/>
      <c r="GG194" s="65"/>
      <c r="GH194" s="13"/>
      <c r="GI194" s="14"/>
      <c r="GK194" s="65"/>
      <c r="GL194" s="13"/>
      <c r="GM194" s="14"/>
      <c r="GO194" s="65"/>
      <c r="GP194" s="13"/>
      <c r="GQ194" s="14"/>
      <c r="GS194" s="65"/>
      <c r="GT194" s="13"/>
      <c r="GU194" s="14"/>
      <c r="GW194" s="65"/>
      <c r="GX194" s="13"/>
      <c r="GY194" s="14"/>
      <c r="HA194" s="65"/>
      <c r="HB194" s="13"/>
      <c r="HC194" s="14"/>
      <c r="HE194" s="65"/>
      <c r="HF194" s="13"/>
      <c r="HG194" s="14"/>
      <c r="HI194" s="65"/>
      <c r="HJ194" s="13"/>
      <c r="HK194" s="14"/>
      <c r="HM194" s="65"/>
      <c r="HN194" s="13"/>
      <c r="HO194" s="14"/>
      <c r="HQ194" s="65"/>
      <c r="HR194" s="13"/>
      <c r="HS194" s="14"/>
      <c r="HU194" s="65"/>
      <c r="HV194" s="13"/>
      <c r="HW194" s="14"/>
      <c r="HY194" s="65"/>
      <c r="HZ194" s="13"/>
      <c r="IA194" s="14"/>
      <c r="IC194" s="65"/>
      <c r="ID194" s="13"/>
      <c r="IE194" s="14"/>
      <c r="IG194" s="65"/>
      <c r="IH194" s="13"/>
      <c r="II194" s="14"/>
      <c r="IK194" s="65"/>
      <c r="IL194" s="13"/>
      <c r="IM194" s="14"/>
      <c r="IO194" s="65"/>
      <c r="IP194" s="13"/>
      <c r="IQ194" s="14"/>
      <c r="IS194" s="65"/>
      <c r="IT194" s="13"/>
      <c r="IU194" s="14"/>
      <c r="IW194" s="65"/>
      <c r="IX194" s="13"/>
      <c r="IY194" s="14"/>
      <c r="JA194" s="65"/>
      <c r="JB194" s="13"/>
      <c r="JC194" s="14"/>
      <c r="JE194" s="65"/>
      <c r="JF194" s="13"/>
      <c r="JG194" s="14"/>
      <c r="JI194" s="65"/>
      <c r="JJ194" s="13"/>
      <c r="JK194" s="14"/>
      <c r="JM194" s="65"/>
      <c r="JN194" s="13"/>
      <c r="JO194" s="14"/>
      <c r="JQ194" s="65"/>
      <c r="JR194" s="13"/>
      <c r="JS194" s="14"/>
      <c r="JU194" s="65"/>
      <c r="JV194" s="13"/>
      <c r="JW194" s="14"/>
      <c r="JY194" s="65"/>
      <c r="JZ194" s="13"/>
      <c r="KA194" s="14"/>
      <c r="KC194" s="65"/>
      <c r="KD194" s="13"/>
      <c r="KE194" s="14"/>
      <c r="KG194" s="65"/>
      <c r="KH194" s="13"/>
      <c r="KI194" s="14"/>
      <c r="KK194" s="65"/>
      <c r="KL194" s="13"/>
      <c r="KM194" s="14"/>
      <c r="KO194" s="65"/>
      <c r="KP194" s="13"/>
      <c r="KQ194" s="14"/>
      <c r="KS194" s="65"/>
      <c r="KT194" s="13"/>
      <c r="KU194" s="14"/>
      <c r="KW194" s="65"/>
      <c r="KX194" s="13"/>
      <c r="KY194" s="14"/>
      <c r="LA194" s="65"/>
      <c r="LB194" s="13"/>
      <c r="LC194" s="14"/>
      <c r="LE194" s="65"/>
      <c r="LF194" s="13"/>
      <c r="LG194" s="14"/>
      <c r="LI194" s="65"/>
      <c r="LJ194" s="13"/>
      <c r="LK194" s="14"/>
      <c r="LM194" s="65"/>
      <c r="LN194" s="13"/>
      <c r="LO194" s="14"/>
      <c r="LQ194" s="65"/>
      <c r="LR194" s="13"/>
      <c r="LS194" s="14"/>
      <c r="LU194" s="65"/>
      <c r="LV194" s="13"/>
      <c r="LW194" s="14"/>
      <c r="LY194" s="65"/>
      <c r="LZ194" s="13"/>
      <c r="MA194" s="14"/>
      <c r="MC194" s="65"/>
      <c r="MD194" s="13"/>
      <c r="ME194" s="14"/>
      <c r="MG194" s="65"/>
      <c r="MH194" s="13"/>
      <c r="MI194" s="14"/>
      <c r="MK194" s="65"/>
      <c r="ML194" s="13"/>
      <c r="MM194" s="14"/>
      <c r="MO194" s="65"/>
      <c r="MP194" s="13"/>
      <c r="MQ194" s="14"/>
      <c r="MS194" s="65"/>
      <c r="MT194" s="13"/>
      <c r="MU194" s="14"/>
    </row>
    <row r="195" spans="1:359" hidden="1" x14ac:dyDescent="0.25">
      <c r="A195" s="15">
        <f t="shared" si="192"/>
        <v>0</v>
      </c>
      <c r="B195" s="20">
        <v>42889</v>
      </c>
      <c r="C195"/>
      <c r="D195" s="12"/>
      <c r="E195" s="12"/>
      <c r="I195" s="12"/>
      <c r="J195" s="12"/>
      <c r="N195" s="12"/>
      <c r="O195" s="12"/>
      <c r="T195" s="15"/>
      <c r="U195" s="20"/>
      <c r="V195" s="36"/>
      <c r="W195" s="12"/>
      <c r="X195" s="12"/>
      <c r="AB195" s="12"/>
      <c r="AC195" s="12"/>
      <c r="AG195" s="12"/>
      <c r="AH195" s="12"/>
      <c r="AK195" s="12"/>
      <c r="AL195" s="13"/>
      <c r="AM195" s="14"/>
      <c r="CK195" s="65"/>
      <c r="CL195" s="13"/>
      <c r="CO195" s="65"/>
      <c r="CP195" s="13"/>
      <c r="CS195" s="65"/>
      <c r="CT195" s="13"/>
      <c r="CW195" s="65"/>
      <c r="CX195" s="13"/>
      <c r="DA195" s="65"/>
      <c r="DB195" s="13"/>
      <c r="DE195" s="65"/>
      <c r="DF195" s="13"/>
      <c r="DI195" s="65"/>
      <c r="DJ195" s="13"/>
      <c r="DM195" s="65"/>
      <c r="DN195" s="13"/>
      <c r="DQ195" s="65"/>
      <c r="DR195" s="13"/>
      <c r="DU195" s="65"/>
      <c r="DV195" s="13"/>
      <c r="DY195" s="65"/>
      <c r="DZ195" s="13"/>
      <c r="EA195" s="14"/>
      <c r="EC195" s="65"/>
      <c r="ED195" s="13"/>
      <c r="EE195" s="14"/>
      <c r="EG195" s="65"/>
      <c r="EH195" s="13"/>
      <c r="EI195" s="14"/>
      <c r="EK195" s="65"/>
      <c r="EL195" s="13"/>
      <c r="EM195" s="14"/>
      <c r="EO195" s="65"/>
      <c r="EP195" s="13"/>
      <c r="EQ195" s="14"/>
      <c r="ES195" s="65"/>
      <c r="ET195" s="13"/>
      <c r="EU195" s="14"/>
      <c r="EW195" s="65"/>
      <c r="EX195" s="13"/>
      <c r="EY195" s="14"/>
      <c r="FA195" s="65"/>
      <c r="FB195" s="13"/>
      <c r="FC195" s="14"/>
      <c r="FE195" s="65"/>
      <c r="FF195" s="13"/>
      <c r="FG195" s="14"/>
      <c r="FI195" s="65"/>
      <c r="FJ195" s="13"/>
      <c r="FK195" s="14"/>
      <c r="FM195" s="65"/>
      <c r="FN195" s="13"/>
      <c r="FO195" s="14"/>
      <c r="FQ195" s="65"/>
      <c r="FR195" s="13"/>
      <c r="FS195" s="14"/>
      <c r="FU195" s="65"/>
      <c r="FV195" s="13"/>
      <c r="FW195" s="14"/>
      <c r="FY195" s="65"/>
      <c r="FZ195" s="13"/>
      <c r="GA195" s="14"/>
      <c r="GC195" s="65"/>
      <c r="GD195" s="13"/>
      <c r="GE195" s="14"/>
      <c r="GG195" s="65"/>
      <c r="GH195" s="13"/>
      <c r="GI195" s="14"/>
      <c r="GK195" s="65"/>
      <c r="GL195" s="13"/>
      <c r="GM195" s="14"/>
      <c r="GO195" s="65"/>
      <c r="GP195" s="13"/>
      <c r="GQ195" s="14"/>
      <c r="GS195" s="65"/>
      <c r="GT195" s="13"/>
      <c r="GU195" s="14"/>
      <c r="GW195" s="65"/>
      <c r="GX195" s="13"/>
      <c r="GY195" s="14"/>
      <c r="HA195" s="65"/>
      <c r="HB195" s="13"/>
      <c r="HC195" s="14"/>
      <c r="HE195" s="65"/>
      <c r="HF195" s="13"/>
      <c r="HG195" s="14"/>
      <c r="HI195" s="65"/>
      <c r="HJ195" s="13"/>
      <c r="HK195" s="14"/>
      <c r="HM195" s="65"/>
      <c r="HN195" s="13"/>
      <c r="HO195" s="14"/>
      <c r="HQ195" s="65"/>
      <c r="HR195" s="13"/>
      <c r="HS195" s="14"/>
      <c r="HU195" s="65"/>
      <c r="HV195" s="13"/>
      <c r="HW195" s="14"/>
      <c r="HY195" s="65"/>
      <c r="HZ195" s="13"/>
      <c r="IA195" s="14"/>
      <c r="IC195" s="65"/>
      <c r="ID195" s="13"/>
      <c r="IE195" s="14"/>
      <c r="IG195" s="65"/>
      <c r="IH195" s="13"/>
      <c r="II195" s="14"/>
      <c r="IK195" s="65"/>
      <c r="IL195" s="13"/>
      <c r="IM195" s="14"/>
      <c r="IO195" s="65"/>
      <c r="IP195" s="13"/>
      <c r="IQ195" s="14"/>
      <c r="IS195" s="65"/>
      <c r="IT195" s="13"/>
      <c r="IU195" s="14"/>
      <c r="IW195" s="65"/>
      <c r="IX195" s="13"/>
      <c r="IY195" s="14"/>
      <c r="JA195" s="65"/>
      <c r="JB195" s="13"/>
      <c r="JC195" s="14"/>
      <c r="JE195" s="65"/>
      <c r="JF195" s="13"/>
      <c r="JG195" s="14"/>
      <c r="JI195" s="65"/>
      <c r="JJ195" s="13"/>
      <c r="JK195" s="14"/>
      <c r="JM195" s="65"/>
      <c r="JN195" s="13"/>
      <c r="JO195" s="14"/>
      <c r="JQ195" s="65"/>
      <c r="JR195" s="13"/>
      <c r="JS195" s="14"/>
      <c r="JU195" s="65"/>
      <c r="JV195" s="13"/>
      <c r="JW195" s="14"/>
      <c r="JY195" s="65"/>
      <c r="JZ195" s="13"/>
      <c r="KA195" s="14"/>
      <c r="KC195" s="65"/>
      <c r="KD195" s="13"/>
      <c r="KE195" s="14"/>
      <c r="KG195" s="65"/>
      <c r="KH195" s="13"/>
      <c r="KI195" s="14"/>
      <c r="KK195" s="65"/>
      <c r="KL195" s="13"/>
      <c r="KM195" s="14"/>
      <c r="KO195" s="65"/>
      <c r="KP195" s="13"/>
      <c r="KQ195" s="14"/>
      <c r="KS195" s="65"/>
      <c r="KT195" s="13"/>
      <c r="KU195" s="14"/>
      <c r="KW195" s="65"/>
      <c r="KX195" s="13"/>
      <c r="KY195" s="14"/>
      <c r="LA195" s="65"/>
      <c r="LB195" s="13"/>
      <c r="LC195" s="14"/>
      <c r="LE195" s="65"/>
      <c r="LF195" s="13"/>
      <c r="LG195" s="14"/>
      <c r="LI195" s="65"/>
      <c r="LJ195" s="13"/>
      <c r="LK195" s="14"/>
      <c r="LM195" s="65"/>
      <c r="LN195" s="13"/>
      <c r="LO195" s="14"/>
      <c r="LQ195" s="65"/>
      <c r="LR195" s="13"/>
      <c r="LS195" s="14"/>
      <c r="LU195" s="65"/>
      <c r="LV195" s="13"/>
      <c r="LW195" s="14"/>
      <c r="LY195" s="65"/>
      <c r="LZ195" s="13"/>
      <c r="MA195" s="14"/>
      <c r="MC195" s="65"/>
      <c r="MD195" s="13"/>
      <c r="ME195" s="14"/>
      <c r="MG195" s="65"/>
      <c r="MH195" s="13"/>
      <c r="MI195" s="14"/>
      <c r="MK195" s="65"/>
      <c r="ML195" s="13"/>
      <c r="MM195" s="14"/>
      <c r="MO195" s="65"/>
      <c r="MP195" s="13"/>
      <c r="MQ195" s="14"/>
      <c r="MS195" s="65"/>
      <c r="MT195" s="13"/>
      <c r="MU195" s="14"/>
    </row>
    <row r="196" spans="1:359" hidden="1" x14ac:dyDescent="0.25">
      <c r="A196" s="15">
        <f t="shared" si="192"/>
        <v>0</v>
      </c>
      <c r="B196" s="20">
        <v>42890</v>
      </c>
      <c r="C196"/>
      <c r="D196" s="12"/>
      <c r="E196" s="12"/>
      <c r="I196" s="12"/>
      <c r="J196" s="12"/>
      <c r="N196" s="12"/>
      <c r="O196" s="12"/>
      <c r="T196" s="15"/>
      <c r="U196" s="20"/>
      <c r="V196" s="36"/>
      <c r="W196" s="12"/>
      <c r="X196" s="12"/>
      <c r="AB196" s="12"/>
      <c r="AC196" s="12"/>
      <c r="AG196" s="12"/>
      <c r="AH196" s="12"/>
      <c r="AK196" s="12"/>
      <c r="AL196" s="13"/>
      <c r="AM196" s="14"/>
      <c r="CK196" s="65"/>
      <c r="CL196" s="13"/>
      <c r="CO196" s="65"/>
      <c r="CP196" s="13"/>
      <c r="CS196" s="65"/>
      <c r="CT196" s="13"/>
      <c r="CW196" s="65"/>
      <c r="CX196" s="13"/>
      <c r="DA196" s="65"/>
      <c r="DB196" s="13"/>
      <c r="DE196" s="65"/>
      <c r="DF196" s="13"/>
      <c r="DI196" s="65"/>
      <c r="DJ196" s="13"/>
      <c r="DM196" s="65"/>
      <c r="DN196" s="13"/>
      <c r="DQ196" s="65"/>
      <c r="DR196" s="13"/>
      <c r="DU196" s="65"/>
      <c r="DV196" s="13"/>
      <c r="DY196" s="65"/>
      <c r="DZ196" s="13"/>
      <c r="EA196" s="14"/>
      <c r="EC196" s="65"/>
      <c r="ED196" s="13"/>
      <c r="EE196" s="14"/>
      <c r="EG196" s="65"/>
      <c r="EH196" s="13"/>
      <c r="EI196" s="14"/>
      <c r="EK196" s="65"/>
      <c r="EL196" s="13"/>
      <c r="EM196" s="14"/>
      <c r="EO196" s="65"/>
      <c r="EP196" s="13"/>
      <c r="EQ196" s="14"/>
      <c r="ES196" s="65"/>
      <c r="ET196" s="13"/>
      <c r="EU196" s="14"/>
      <c r="EW196" s="65"/>
      <c r="EX196" s="13"/>
      <c r="EY196" s="14"/>
      <c r="FA196" s="65"/>
      <c r="FB196" s="13"/>
      <c r="FC196" s="14"/>
      <c r="FE196" s="65"/>
      <c r="FF196" s="13"/>
      <c r="FG196" s="14"/>
      <c r="FI196" s="65"/>
      <c r="FJ196" s="13"/>
      <c r="FK196" s="14"/>
      <c r="FM196" s="65"/>
      <c r="FN196" s="13"/>
      <c r="FO196" s="14"/>
      <c r="FQ196" s="65"/>
      <c r="FR196" s="13"/>
      <c r="FS196" s="14"/>
      <c r="FU196" s="65"/>
      <c r="FV196" s="13"/>
      <c r="FW196" s="14"/>
      <c r="FY196" s="65"/>
      <c r="FZ196" s="13"/>
      <c r="GA196" s="14"/>
      <c r="GC196" s="65"/>
      <c r="GD196" s="13"/>
      <c r="GE196" s="14"/>
      <c r="GG196" s="65"/>
      <c r="GH196" s="13"/>
      <c r="GI196" s="14"/>
      <c r="GK196" s="65"/>
      <c r="GL196" s="13"/>
      <c r="GM196" s="14"/>
      <c r="GO196" s="65"/>
      <c r="GP196" s="13"/>
      <c r="GQ196" s="14"/>
      <c r="GS196" s="65"/>
      <c r="GT196" s="13"/>
      <c r="GU196" s="14"/>
      <c r="GW196" s="65"/>
      <c r="GX196" s="13"/>
      <c r="GY196" s="14"/>
      <c r="HA196" s="65"/>
      <c r="HB196" s="13"/>
      <c r="HC196" s="14"/>
      <c r="HE196" s="65"/>
      <c r="HF196" s="13"/>
      <c r="HG196" s="14"/>
      <c r="HI196" s="65"/>
      <c r="HJ196" s="13"/>
      <c r="HK196" s="14"/>
      <c r="HM196" s="65"/>
      <c r="HN196" s="13"/>
      <c r="HO196" s="14"/>
      <c r="HQ196" s="65"/>
      <c r="HR196" s="13"/>
      <c r="HS196" s="14"/>
      <c r="HU196" s="65"/>
      <c r="HV196" s="13"/>
      <c r="HW196" s="14"/>
      <c r="HY196" s="65"/>
      <c r="HZ196" s="13"/>
      <c r="IA196" s="14"/>
      <c r="IC196" s="65"/>
      <c r="ID196" s="13"/>
      <c r="IE196" s="14"/>
      <c r="IG196" s="65"/>
      <c r="IH196" s="13"/>
      <c r="II196" s="14"/>
      <c r="IK196" s="65"/>
      <c r="IL196" s="13"/>
      <c r="IM196" s="14"/>
      <c r="IO196" s="65"/>
      <c r="IP196" s="13"/>
      <c r="IQ196" s="14"/>
      <c r="IS196" s="65"/>
      <c r="IT196" s="13"/>
      <c r="IU196" s="14"/>
      <c r="IW196" s="65"/>
      <c r="IX196" s="13"/>
      <c r="IY196" s="14"/>
      <c r="JA196" s="65"/>
      <c r="JB196" s="13"/>
      <c r="JC196" s="14"/>
      <c r="JE196" s="65"/>
      <c r="JF196" s="13"/>
      <c r="JG196" s="14"/>
      <c r="JI196" s="65"/>
      <c r="JJ196" s="13"/>
      <c r="JK196" s="14"/>
      <c r="JM196" s="65"/>
      <c r="JN196" s="13"/>
      <c r="JO196" s="14"/>
      <c r="JQ196" s="65"/>
      <c r="JR196" s="13"/>
      <c r="JS196" s="14"/>
      <c r="JU196" s="65"/>
      <c r="JV196" s="13"/>
      <c r="JW196" s="14"/>
      <c r="JY196" s="65"/>
      <c r="JZ196" s="13"/>
      <c r="KA196" s="14"/>
      <c r="KC196" s="65"/>
      <c r="KD196" s="13"/>
      <c r="KE196" s="14"/>
      <c r="KG196" s="65"/>
      <c r="KH196" s="13"/>
      <c r="KI196" s="14"/>
      <c r="KK196" s="65"/>
      <c r="KL196" s="13"/>
      <c r="KM196" s="14"/>
      <c r="KO196" s="65"/>
      <c r="KP196" s="13"/>
      <c r="KQ196" s="14"/>
      <c r="KS196" s="65"/>
      <c r="KT196" s="13"/>
      <c r="KU196" s="14"/>
      <c r="KW196" s="65"/>
      <c r="KX196" s="13"/>
      <c r="KY196" s="14"/>
      <c r="LA196" s="65"/>
      <c r="LB196" s="13"/>
      <c r="LC196" s="14"/>
      <c r="LE196" s="65"/>
      <c r="LF196" s="13"/>
      <c r="LG196" s="14"/>
      <c r="LI196" s="65"/>
      <c r="LJ196" s="13"/>
      <c r="LK196" s="14"/>
      <c r="LM196" s="65"/>
      <c r="LN196" s="13"/>
      <c r="LO196" s="14"/>
      <c r="LQ196" s="65"/>
      <c r="LR196" s="13"/>
      <c r="LS196" s="14"/>
      <c r="LU196" s="65"/>
      <c r="LV196" s="13"/>
      <c r="LW196" s="14"/>
      <c r="LY196" s="65"/>
      <c r="LZ196" s="13"/>
      <c r="MA196" s="14"/>
      <c r="MC196" s="65"/>
      <c r="MD196" s="13"/>
      <c r="ME196" s="14"/>
      <c r="MG196" s="65"/>
      <c r="MH196" s="13"/>
      <c r="MI196" s="14"/>
      <c r="MK196" s="65"/>
      <c r="ML196" s="13"/>
      <c r="MM196" s="14"/>
      <c r="MO196" s="65"/>
      <c r="MP196" s="13"/>
      <c r="MQ196" s="14"/>
      <c r="MS196" s="65"/>
      <c r="MT196" s="13"/>
      <c r="MU196" s="14"/>
    </row>
    <row r="197" spans="1:359" hidden="1" x14ac:dyDescent="0.25">
      <c r="A197" s="15">
        <f t="shared" si="192"/>
        <v>0</v>
      </c>
      <c r="B197" s="20">
        <v>42891</v>
      </c>
      <c r="C197"/>
      <c r="D197" s="12"/>
      <c r="E197" s="12"/>
      <c r="I197" s="12"/>
      <c r="J197" s="12"/>
      <c r="N197" s="12"/>
      <c r="O197" s="12"/>
      <c r="T197" s="15"/>
      <c r="U197" s="20"/>
      <c r="V197" s="36"/>
      <c r="W197" s="12"/>
      <c r="X197" s="12"/>
      <c r="AB197" s="12"/>
      <c r="AC197" s="12"/>
      <c r="AG197" s="12"/>
      <c r="AH197" s="12"/>
      <c r="AK197" s="12"/>
      <c r="AL197" s="13"/>
      <c r="AM197" s="14"/>
      <c r="CK197" s="65"/>
      <c r="CL197" s="13"/>
      <c r="CO197" s="65"/>
      <c r="CP197" s="13"/>
      <c r="CS197" s="65"/>
      <c r="CT197" s="13"/>
      <c r="CW197" s="65"/>
      <c r="CX197" s="13"/>
      <c r="DA197" s="65"/>
      <c r="DB197" s="13"/>
      <c r="DE197" s="65"/>
      <c r="DF197" s="13"/>
      <c r="DI197" s="65"/>
      <c r="DJ197" s="13"/>
      <c r="DM197" s="65"/>
      <c r="DN197" s="13"/>
      <c r="DQ197" s="65"/>
      <c r="DR197" s="13"/>
      <c r="DU197" s="65"/>
      <c r="DV197" s="13"/>
      <c r="DY197" s="65"/>
      <c r="DZ197" s="13"/>
      <c r="EA197" s="14"/>
      <c r="EC197" s="65"/>
      <c r="ED197" s="13"/>
      <c r="EE197" s="14"/>
      <c r="EG197" s="65"/>
      <c r="EH197" s="13"/>
      <c r="EI197" s="14"/>
      <c r="EK197" s="65"/>
      <c r="EL197" s="13"/>
      <c r="EM197" s="14"/>
      <c r="EO197" s="65"/>
      <c r="EP197" s="13"/>
      <c r="EQ197" s="14"/>
      <c r="ES197" s="65"/>
      <c r="ET197" s="13"/>
      <c r="EU197" s="14"/>
      <c r="EW197" s="65"/>
      <c r="EX197" s="13"/>
      <c r="EY197" s="14"/>
      <c r="FA197" s="65"/>
      <c r="FB197" s="13"/>
      <c r="FC197" s="14"/>
      <c r="FE197" s="65"/>
      <c r="FF197" s="13"/>
      <c r="FG197" s="14"/>
      <c r="FI197" s="65"/>
      <c r="FJ197" s="13"/>
      <c r="FK197" s="14"/>
      <c r="FM197" s="65"/>
      <c r="FN197" s="13"/>
      <c r="FO197" s="14"/>
      <c r="FQ197" s="65"/>
      <c r="FR197" s="13"/>
      <c r="FS197" s="14"/>
      <c r="FU197" s="65"/>
      <c r="FV197" s="13"/>
      <c r="FW197" s="14"/>
      <c r="FY197" s="65"/>
      <c r="FZ197" s="13"/>
      <c r="GA197" s="14"/>
      <c r="GC197" s="65"/>
      <c r="GD197" s="13"/>
      <c r="GE197" s="14"/>
      <c r="GG197" s="65"/>
      <c r="GH197" s="13"/>
      <c r="GI197" s="14"/>
      <c r="GK197" s="65"/>
      <c r="GL197" s="13"/>
      <c r="GM197" s="14"/>
      <c r="GO197" s="65"/>
      <c r="GP197" s="13"/>
      <c r="GQ197" s="14"/>
      <c r="GS197" s="65"/>
      <c r="GT197" s="13"/>
      <c r="GU197" s="14"/>
      <c r="GW197" s="65"/>
      <c r="GX197" s="13"/>
      <c r="GY197" s="14"/>
      <c r="HA197" s="65"/>
      <c r="HB197" s="13"/>
      <c r="HC197" s="14"/>
      <c r="HE197" s="65"/>
      <c r="HF197" s="13"/>
      <c r="HG197" s="14"/>
      <c r="HI197" s="65"/>
      <c r="HJ197" s="13"/>
      <c r="HK197" s="14"/>
      <c r="HM197" s="65"/>
      <c r="HN197" s="13"/>
      <c r="HO197" s="14"/>
      <c r="HQ197" s="65"/>
      <c r="HR197" s="13"/>
      <c r="HS197" s="14"/>
      <c r="HU197" s="65"/>
      <c r="HV197" s="13"/>
      <c r="HW197" s="14"/>
      <c r="HY197" s="65"/>
      <c r="HZ197" s="13"/>
      <c r="IA197" s="14"/>
      <c r="IC197" s="65"/>
      <c r="ID197" s="13"/>
      <c r="IE197" s="14"/>
      <c r="IG197" s="65"/>
      <c r="IH197" s="13"/>
      <c r="II197" s="14"/>
      <c r="IK197" s="65"/>
      <c r="IL197" s="13"/>
      <c r="IM197" s="14"/>
      <c r="IO197" s="65"/>
      <c r="IP197" s="13"/>
      <c r="IQ197" s="14"/>
      <c r="IS197" s="65"/>
      <c r="IT197" s="13"/>
      <c r="IU197" s="14"/>
      <c r="IW197" s="65"/>
      <c r="IX197" s="13"/>
      <c r="IY197" s="14"/>
      <c r="JA197" s="65"/>
      <c r="JB197" s="13"/>
      <c r="JC197" s="14"/>
      <c r="JE197" s="65"/>
      <c r="JF197" s="13"/>
      <c r="JG197" s="14"/>
      <c r="JI197" s="65"/>
      <c r="JJ197" s="13"/>
      <c r="JK197" s="14"/>
      <c r="JM197" s="65"/>
      <c r="JN197" s="13"/>
      <c r="JO197" s="14"/>
      <c r="JQ197" s="65"/>
      <c r="JR197" s="13"/>
      <c r="JS197" s="14"/>
      <c r="JU197" s="65"/>
      <c r="JV197" s="13"/>
      <c r="JW197" s="14"/>
      <c r="JY197" s="65"/>
      <c r="JZ197" s="13"/>
      <c r="KA197" s="14"/>
      <c r="KC197" s="65"/>
      <c r="KD197" s="13"/>
      <c r="KE197" s="14"/>
      <c r="KG197" s="65"/>
      <c r="KH197" s="13"/>
      <c r="KI197" s="14"/>
      <c r="KK197" s="65"/>
      <c r="KL197" s="13"/>
      <c r="KM197" s="14"/>
      <c r="KO197" s="65"/>
      <c r="KP197" s="13"/>
      <c r="KQ197" s="14"/>
      <c r="KS197" s="65"/>
      <c r="KT197" s="13"/>
      <c r="KU197" s="14"/>
      <c r="KW197" s="65"/>
      <c r="KX197" s="13"/>
      <c r="KY197" s="14"/>
      <c r="LA197" s="65"/>
      <c r="LB197" s="13"/>
      <c r="LC197" s="14"/>
      <c r="LE197" s="65"/>
      <c r="LF197" s="13"/>
      <c r="LG197" s="14"/>
      <c r="LI197" s="65"/>
      <c r="LJ197" s="13"/>
      <c r="LK197" s="14"/>
      <c r="LM197" s="65"/>
      <c r="LN197" s="13"/>
      <c r="LO197" s="14"/>
      <c r="LQ197" s="65"/>
      <c r="LR197" s="13"/>
      <c r="LS197" s="14"/>
      <c r="LU197" s="65"/>
      <c r="LV197" s="13"/>
      <c r="LW197" s="14"/>
      <c r="LY197" s="65"/>
      <c r="LZ197" s="13"/>
      <c r="MA197" s="14"/>
      <c r="MC197" s="65"/>
      <c r="MD197" s="13"/>
      <c r="ME197" s="14"/>
      <c r="MG197" s="65"/>
      <c r="MH197" s="13"/>
      <c r="MI197" s="14"/>
      <c r="MK197" s="65"/>
      <c r="ML197" s="13"/>
      <c r="MM197" s="14"/>
      <c r="MO197" s="65"/>
      <c r="MP197" s="13"/>
      <c r="MQ197" s="14"/>
      <c r="MS197" s="65"/>
      <c r="MT197" s="13"/>
      <c r="MU197" s="14"/>
    </row>
    <row r="198" spans="1:359" hidden="1" x14ac:dyDescent="0.25">
      <c r="A198" s="15">
        <f t="shared" si="192"/>
        <v>0</v>
      </c>
      <c r="B198" s="20">
        <v>42892</v>
      </c>
      <c r="C198"/>
      <c r="D198" s="12"/>
      <c r="E198" s="12"/>
      <c r="I198" s="12"/>
      <c r="J198" s="12"/>
      <c r="N198" s="12"/>
      <c r="O198" s="12"/>
      <c r="T198" s="15"/>
      <c r="U198" s="20"/>
      <c r="V198" s="36"/>
      <c r="W198" s="12"/>
      <c r="X198" s="12"/>
      <c r="AB198" s="12"/>
      <c r="AC198" s="12"/>
      <c r="AG198" s="12"/>
      <c r="AH198" s="12"/>
      <c r="AK198" s="12"/>
      <c r="AL198" s="13"/>
      <c r="AM198" s="14"/>
      <c r="CK198" s="65"/>
      <c r="CL198" s="13"/>
      <c r="CO198" s="65"/>
      <c r="CP198" s="13"/>
      <c r="CS198" s="65"/>
      <c r="CT198" s="13"/>
      <c r="CW198" s="65"/>
      <c r="CX198" s="13"/>
      <c r="DA198" s="65"/>
      <c r="DB198" s="13"/>
      <c r="DE198" s="65"/>
      <c r="DF198" s="13"/>
      <c r="DI198" s="65"/>
      <c r="DJ198" s="13"/>
      <c r="DM198" s="65"/>
      <c r="DN198" s="13"/>
      <c r="DQ198" s="65"/>
      <c r="DR198" s="13"/>
      <c r="DU198" s="65"/>
      <c r="DV198" s="13"/>
      <c r="DY198" s="65"/>
      <c r="DZ198" s="13"/>
      <c r="EA198" s="14"/>
      <c r="EC198" s="65"/>
      <c r="ED198" s="13"/>
      <c r="EE198" s="14"/>
      <c r="EG198" s="65"/>
      <c r="EH198" s="13"/>
      <c r="EI198" s="14"/>
      <c r="EK198" s="65"/>
      <c r="EL198" s="13"/>
      <c r="EM198" s="14"/>
      <c r="EO198" s="65"/>
      <c r="EP198" s="13"/>
      <c r="EQ198" s="14"/>
      <c r="ES198" s="65"/>
      <c r="ET198" s="13"/>
      <c r="EU198" s="14"/>
      <c r="EW198" s="65"/>
      <c r="EX198" s="13"/>
      <c r="EY198" s="14"/>
      <c r="FA198" s="65"/>
      <c r="FB198" s="13"/>
      <c r="FC198" s="14"/>
      <c r="FE198" s="65"/>
      <c r="FF198" s="13"/>
      <c r="FG198" s="14"/>
      <c r="FI198" s="65"/>
      <c r="FJ198" s="13"/>
      <c r="FK198" s="14"/>
      <c r="FM198" s="65"/>
      <c r="FN198" s="13"/>
      <c r="FO198" s="14"/>
      <c r="FQ198" s="65"/>
      <c r="FR198" s="13"/>
      <c r="FS198" s="14"/>
      <c r="FU198" s="65"/>
      <c r="FV198" s="13"/>
      <c r="FW198" s="14"/>
      <c r="FY198" s="65"/>
      <c r="FZ198" s="13"/>
      <c r="GA198" s="14"/>
      <c r="GC198" s="65"/>
      <c r="GD198" s="13"/>
      <c r="GE198" s="14"/>
      <c r="GG198" s="65"/>
      <c r="GH198" s="13"/>
      <c r="GI198" s="14"/>
      <c r="GK198" s="65"/>
      <c r="GL198" s="13"/>
      <c r="GM198" s="14"/>
      <c r="GO198" s="65"/>
      <c r="GP198" s="13"/>
      <c r="GQ198" s="14"/>
      <c r="GS198" s="65"/>
      <c r="GT198" s="13"/>
      <c r="GU198" s="14"/>
      <c r="GW198" s="65"/>
      <c r="GX198" s="13"/>
      <c r="GY198" s="14"/>
      <c r="HA198" s="65"/>
      <c r="HB198" s="13"/>
      <c r="HC198" s="14"/>
      <c r="HE198" s="65"/>
      <c r="HF198" s="13"/>
      <c r="HG198" s="14"/>
      <c r="HI198" s="65"/>
      <c r="HJ198" s="13"/>
      <c r="HK198" s="14"/>
      <c r="HM198" s="65"/>
      <c r="HN198" s="13"/>
      <c r="HO198" s="14"/>
      <c r="HQ198" s="65"/>
      <c r="HR198" s="13"/>
      <c r="HS198" s="14"/>
      <c r="HU198" s="65"/>
      <c r="HV198" s="13"/>
      <c r="HW198" s="14"/>
      <c r="HY198" s="65"/>
      <c r="HZ198" s="13"/>
      <c r="IA198" s="14"/>
      <c r="IC198" s="65"/>
      <c r="ID198" s="13"/>
      <c r="IE198" s="14"/>
      <c r="IG198" s="65"/>
      <c r="IH198" s="13"/>
      <c r="II198" s="14"/>
      <c r="IK198" s="65"/>
      <c r="IL198" s="13"/>
      <c r="IM198" s="14"/>
      <c r="IO198" s="65"/>
      <c r="IP198" s="13"/>
      <c r="IQ198" s="14"/>
      <c r="IS198" s="65"/>
      <c r="IT198" s="13"/>
      <c r="IU198" s="14"/>
      <c r="IW198" s="65"/>
      <c r="IX198" s="13"/>
      <c r="IY198" s="14"/>
      <c r="JA198" s="65"/>
      <c r="JB198" s="13"/>
      <c r="JC198" s="14"/>
      <c r="JE198" s="65"/>
      <c r="JF198" s="13"/>
      <c r="JG198" s="14"/>
      <c r="JI198" s="65"/>
      <c r="JJ198" s="13"/>
      <c r="JK198" s="14"/>
      <c r="JM198" s="65"/>
      <c r="JN198" s="13"/>
      <c r="JO198" s="14"/>
      <c r="JQ198" s="65"/>
      <c r="JR198" s="13"/>
      <c r="JS198" s="14"/>
      <c r="JU198" s="65"/>
      <c r="JV198" s="13"/>
      <c r="JW198" s="14"/>
      <c r="JY198" s="65"/>
      <c r="JZ198" s="13"/>
      <c r="KA198" s="14"/>
      <c r="KC198" s="65"/>
      <c r="KD198" s="13"/>
      <c r="KE198" s="14"/>
      <c r="KG198" s="65"/>
      <c r="KH198" s="13"/>
      <c r="KI198" s="14"/>
      <c r="KK198" s="65"/>
      <c r="KL198" s="13"/>
      <c r="KM198" s="14"/>
      <c r="KO198" s="65"/>
      <c r="KP198" s="13"/>
      <c r="KQ198" s="14"/>
      <c r="KS198" s="65"/>
      <c r="KT198" s="13"/>
      <c r="KU198" s="14"/>
      <c r="KW198" s="65"/>
      <c r="KX198" s="13"/>
      <c r="KY198" s="14"/>
      <c r="LA198" s="65"/>
      <c r="LB198" s="13"/>
      <c r="LC198" s="14"/>
      <c r="LE198" s="65"/>
      <c r="LF198" s="13"/>
      <c r="LG198" s="14"/>
      <c r="LI198" s="65"/>
      <c r="LJ198" s="13"/>
      <c r="LK198" s="14"/>
      <c r="LM198" s="65"/>
      <c r="LN198" s="13"/>
      <c r="LO198" s="14"/>
      <c r="LQ198" s="65"/>
      <c r="LR198" s="13"/>
      <c r="LS198" s="14"/>
      <c r="LU198" s="65"/>
      <c r="LV198" s="13"/>
      <c r="LW198" s="14"/>
      <c r="LY198" s="65"/>
      <c r="LZ198" s="13"/>
      <c r="MA198" s="14"/>
      <c r="MC198" s="65"/>
      <c r="MD198" s="13"/>
      <c r="ME198" s="14"/>
      <c r="MG198" s="65"/>
      <c r="MH198" s="13"/>
      <c r="MI198" s="14"/>
      <c r="MK198" s="65"/>
      <c r="ML198" s="13"/>
      <c r="MM198" s="14"/>
      <c r="MO198" s="65"/>
      <c r="MP198" s="13"/>
      <c r="MQ198" s="14"/>
      <c r="MS198" s="65"/>
      <c r="MT198" s="13"/>
      <c r="MU198" s="14"/>
    </row>
    <row r="199" spans="1:359" hidden="1" x14ac:dyDescent="0.25">
      <c r="A199" s="15">
        <f t="shared" si="192"/>
        <v>0</v>
      </c>
      <c r="B199" s="20">
        <v>42893</v>
      </c>
      <c r="C199"/>
      <c r="D199" s="12"/>
      <c r="E199" s="12"/>
      <c r="I199" s="12"/>
      <c r="J199" s="12"/>
      <c r="N199" s="12"/>
      <c r="O199" s="12"/>
      <c r="T199" s="15"/>
      <c r="U199" s="20"/>
      <c r="V199" s="36"/>
      <c r="W199" s="12"/>
      <c r="X199" s="12"/>
      <c r="AB199" s="12"/>
      <c r="AC199" s="12"/>
      <c r="AG199" s="12"/>
      <c r="AH199" s="12"/>
      <c r="AK199" s="12"/>
      <c r="AL199" s="13"/>
      <c r="AM199" s="14"/>
      <c r="CK199" s="65"/>
      <c r="CL199" s="13"/>
      <c r="CO199" s="65"/>
      <c r="CP199" s="13"/>
      <c r="CS199" s="65"/>
      <c r="CT199" s="13"/>
      <c r="CW199" s="65"/>
      <c r="CX199" s="13"/>
      <c r="DA199" s="65"/>
      <c r="DB199" s="13"/>
      <c r="DE199" s="65"/>
      <c r="DF199" s="13"/>
      <c r="DI199" s="65"/>
      <c r="DJ199" s="13"/>
      <c r="DM199" s="65"/>
      <c r="DN199" s="13"/>
      <c r="DQ199" s="65"/>
      <c r="DR199" s="13"/>
      <c r="DU199" s="65"/>
      <c r="DV199" s="13"/>
      <c r="DY199" s="65"/>
      <c r="DZ199" s="13"/>
      <c r="EA199" s="14"/>
      <c r="EC199" s="65"/>
      <c r="ED199" s="13"/>
      <c r="EE199" s="14"/>
      <c r="EG199" s="65"/>
      <c r="EH199" s="13"/>
      <c r="EI199" s="14"/>
      <c r="EK199" s="65"/>
      <c r="EL199" s="13"/>
      <c r="EM199" s="14"/>
      <c r="EO199" s="65"/>
      <c r="EP199" s="13"/>
      <c r="EQ199" s="14"/>
      <c r="ES199" s="65"/>
      <c r="ET199" s="13"/>
      <c r="EU199" s="14"/>
      <c r="EW199" s="65"/>
      <c r="EX199" s="13"/>
      <c r="EY199" s="14"/>
      <c r="FA199" s="65"/>
      <c r="FB199" s="13"/>
      <c r="FC199" s="14"/>
      <c r="FE199" s="65"/>
      <c r="FF199" s="13"/>
      <c r="FG199" s="14"/>
      <c r="FI199" s="65"/>
      <c r="FJ199" s="13"/>
      <c r="FK199" s="14"/>
      <c r="FM199" s="65"/>
      <c r="FN199" s="13"/>
      <c r="FO199" s="14"/>
      <c r="FQ199" s="65"/>
      <c r="FR199" s="13"/>
      <c r="FS199" s="14"/>
      <c r="FU199" s="65"/>
      <c r="FV199" s="13"/>
      <c r="FW199" s="14"/>
      <c r="FY199" s="65"/>
      <c r="FZ199" s="13"/>
      <c r="GA199" s="14"/>
      <c r="GC199" s="65"/>
      <c r="GD199" s="13"/>
      <c r="GE199" s="14"/>
      <c r="GG199" s="65"/>
      <c r="GH199" s="13"/>
      <c r="GI199" s="14"/>
      <c r="GK199" s="65"/>
      <c r="GL199" s="13"/>
      <c r="GM199" s="14"/>
      <c r="GO199" s="65"/>
      <c r="GP199" s="13"/>
      <c r="GQ199" s="14"/>
      <c r="GS199" s="65"/>
      <c r="GT199" s="13"/>
      <c r="GU199" s="14"/>
      <c r="GW199" s="65"/>
      <c r="GX199" s="13"/>
      <c r="GY199" s="14"/>
      <c r="HA199" s="65"/>
      <c r="HB199" s="13"/>
      <c r="HC199" s="14"/>
      <c r="HE199" s="65"/>
      <c r="HF199" s="13"/>
      <c r="HG199" s="14"/>
      <c r="HI199" s="65"/>
      <c r="HJ199" s="13"/>
      <c r="HK199" s="14"/>
      <c r="HM199" s="65"/>
      <c r="HN199" s="13"/>
      <c r="HO199" s="14"/>
      <c r="HQ199" s="65"/>
      <c r="HR199" s="13"/>
      <c r="HS199" s="14"/>
      <c r="HU199" s="65"/>
      <c r="HV199" s="13"/>
      <c r="HW199" s="14"/>
      <c r="HY199" s="65"/>
      <c r="HZ199" s="13"/>
      <c r="IA199" s="14"/>
      <c r="IC199" s="65"/>
      <c r="ID199" s="13"/>
      <c r="IE199" s="14"/>
      <c r="IG199" s="65"/>
      <c r="IH199" s="13"/>
      <c r="II199" s="14"/>
      <c r="IK199" s="65"/>
      <c r="IL199" s="13"/>
      <c r="IM199" s="14"/>
      <c r="IO199" s="65"/>
      <c r="IP199" s="13"/>
      <c r="IQ199" s="14"/>
      <c r="IS199" s="65"/>
      <c r="IT199" s="13"/>
      <c r="IU199" s="14"/>
      <c r="IW199" s="65"/>
      <c r="IX199" s="13"/>
      <c r="IY199" s="14"/>
      <c r="JA199" s="65"/>
      <c r="JB199" s="13"/>
      <c r="JC199" s="14"/>
      <c r="JE199" s="65"/>
      <c r="JF199" s="13"/>
      <c r="JG199" s="14"/>
      <c r="JI199" s="65"/>
      <c r="JJ199" s="13"/>
      <c r="JK199" s="14"/>
      <c r="JM199" s="65"/>
      <c r="JN199" s="13"/>
      <c r="JO199" s="14"/>
      <c r="JQ199" s="65"/>
      <c r="JR199" s="13"/>
      <c r="JS199" s="14"/>
      <c r="JU199" s="65"/>
      <c r="JV199" s="13"/>
      <c r="JW199" s="14"/>
      <c r="JY199" s="65"/>
      <c r="JZ199" s="13"/>
      <c r="KA199" s="14"/>
      <c r="KC199" s="65"/>
      <c r="KD199" s="13"/>
      <c r="KE199" s="14"/>
      <c r="KG199" s="65"/>
      <c r="KH199" s="13"/>
      <c r="KI199" s="14"/>
      <c r="KK199" s="65"/>
      <c r="KL199" s="13"/>
      <c r="KM199" s="14"/>
      <c r="KO199" s="65"/>
      <c r="KP199" s="13"/>
      <c r="KQ199" s="14"/>
      <c r="KS199" s="65"/>
      <c r="KT199" s="13"/>
      <c r="KU199" s="14"/>
      <c r="KW199" s="65"/>
      <c r="KX199" s="13"/>
      <c r="KY199" s="14"/>
      <c r="LA199" s="65"/>
      <c r="LB199" s="13"/>
      <c r="LC199" s="14"/>
      <c r="LE199" s="65"/>
      <c r="LF199" s="13"/>
      <c r="LG199" s="14"/>
      <c r="LI199" s="65"/>
      <c r="LJ199" s="13"/>
      <c r="LK199" s="14"/>
      <c r="LM199" s="65"/>
      <c r="LN199" s="13"/>
      <c r="LO199" s="14"/>
      <c r="LQ199" s="65"/>
      <c r="LR199" s="13"/>
      <c r="LS199" s="14"/>
      <c r="LU199" s="65"/>
      <c r="LV199" s="13"/>
      <c r="LW199" s="14"/>
      <c r="LY199" s="65"/>
      <c r="LZ199" s="13"/>
      <c r="MA199" s="14"/>
      <c r="MC199" s="65"/>
      <c r="MD199" s="13"/>
      <c r="ME199" s="14"/>
      <c r="MG199" s="65"/>
      <c r="MH199" s="13"/>
      <c r="MI199" s="14"/>
      <c r="MK199" s="65"/>
      <c r="ML199" s="13"/>
      <c r="MM199" s="14"/>
      <c r="MO199" s="65"/>
      <c r="MP199" s="13"/>
      <c r="MQ199" s="14"/>
      <c r="MS199" s="65"/>
      <c r="MT199" s="13"/>
      <c r="MU199" s="14"/>
    </row>
    <row r="200" spans="1:359" hidden="1" x14ac:dyDescent="0.25">
      <c r="A200" s="15">
        <f t="shared" si="192"/>
        <v>0</v>
      </c>
      <c r="B200" s="20">
        <v>42894</v>
      </c>
      <c r="C200"/>
      <c r="D200" s="12"/>
      <c r="E200" s="12"/>
      <c r="I200" s="12"/>
      <c r="J200" s="12"/>
      <c r="N200" s="12"/>
      <c r="O200" s="12"/>
      <c r="T200" s="15"/>
      <c r="U200" s="20"/>
      <c r="V200" s="36"/>
      <c r="W200" s="12"/>
      <c r="X200" s="12"/>
      <c r="AB200" s="12"/>
      <c r="AC200" s="12"/>
      <c r="AG200" s="12"/>
      <c r="AH200" s="12"/>
      <c r="AK200" s="12"/>
      <c r="AL200" s="13"/>
      <c r="AM200" s="14"/>
      <c r="CK200" s="65"/>
      <c r="CL200" s="13"/>
      <c r="CO200" s="65"/>
      <c r="CP200" s="13"/>
      <c r="CS200" s="65"/>
      <c r="CT200" s="13"/>
      <c r="CW200" s="65"/>
      <c r="CX200" s="13"/>
      <c r="DA200" s="65"/>
      <c r="DB200" s="13"/>
      <c r="DE200" s="65"/>
      <c r="DF200" s="13"/>
      <c r="DI200" s="65"/>
      <c r="DJ200" s="13"/>
      <c r="DM200" s="65"/>
      <c r="DN200" s="13"/>
      <c r="DQ200" s="65"/>
      <c r="DR200" s="13"/>
      <c r="DU200" s="65"/>
      <c r="DV200" s="13"/>
      <c r="DY200" s="65"/>
      <c r="DZ200" s="13"/>
      <c r="EA200" s="14"/>
      <c r="EC200" s="65"/>
      <c r="ED200" s="13"/>
      <c r="EE200" s="14"/>
      <c r="EG200" s="65"/>
      <c r="EH200" s="13"/>
      <c r="EI200" s="14"/>
      <c r="EK200" s="65"/>
      <c r="EL200" s="13"/>
      <c r="EM200" s="14"/>
      <c r="EO200" s="65"/>
      <c r="EP200" s="13"/>
      <c r="EQ200" s="14"/>
      <c r="ES200" s="65"/>
      <c r="ET200" s="13"/>
      <c r="EU200" s="14"/>
      <c r="EW200" s="65"/>
      <c r="EX200" s="13"/>
      <c r="EY200" s="14"/>
      <c r="FA200" s="65"/>
      <c r="FB200" s="13"/>
      <c r="FC200" s="14"/>
      <c r="FE200" s="65"/>
      <c r="FF200" s="13"/>
      <c r="FG200" s="14"/>
      <c r="FI200" s="65"/>
      <c r="FJ200" s="13"/>
      <c r="FK200" s="14"/>
      <c r="FM200" s="65"/>
      <c r="FN200" s="13"/>
      <c r="FO200" s="14"/>
      <c r="FQ200" s="65"/>
      <c r="FR200" s="13"/>
      <c r="FS200" s="14"/>
      <c r="FU200" s="65"/>
      <c r="FV200" s="13"/>
      <c r="FW200" s="14"/>
      <c r="FY200" s="65"/>
      <c r="FZ200" s="13"/>
      <c r="GA200" s="14"/>
      <c r="GC200" s="65"/>
      <c r="GD200" s="13"/>
      <c r="GE200" s="14"/>
      <c r="GG200" s="65"/>
      <c r="GH200" s="13"/>
      <c r="GI200" s="14"/>
      <c r="GK200" s="65"/>
      <c r="GL200" s="13"/>
      <c r="GM200" s="14"/>
      <c r="GO200" s="65"/>
      <c r="GP200" s="13"/>
      <c r="GQ200" s="14"/>
      <c r="GS200" s="65"/>
      <c r="GT200" s="13"/>
      <c r="GU200" s="14"/>
      <c r="GW200" s="65"/>
      <c r="GX200" s="13"/>
      <c r="GY200" s="14"/>
      <c r="HA200" s="65"/>
      <c r="HB200" s="13"/>
      <c r="HC200" s="14"/>
      <c r="HE200" s="65"/>
      <c r="HF200" s="13"/>
      <c r="HG200" s="14"/>
      <c r="HI200" s="65"/>
      <c r="HJ200" s="13"/>
      <c r="HK200" s="14"/>
      <c r="HM200" s="65"/>
      <c r="HN200" s="13"/>
      <c r="HO200" s="14"/>
      <c r="HQ200" s="65"/>
      <c r="HR200" s="13"/>
      <c r="HS200" s="14"/>
      <c r="HU200" s="65"/>
      <c r="HV200" s="13"/>
      <c r="HW200" s="14"/>
      <c r="HY200" s="65"/>
      <c r="HZ200" s="13"/>
      <c r="IA200" s="14"/>
      <c r="IC200" s="65"/>
      <c r="ID200" s="13"/>
      <c r="IE200" s="14"/>
      <c r="IG200" s="65"/>
      <c r="IH200" s="13"/>
      <c r="II200" s="14"/>
      <c r="IK200" s="65"/>
      <c r="IL200" s="13"/>
      <c r="IM200" s="14"/>
      <c r="IO200" s="65"/>
      <c r="IP200" s="13"/>
      <c r="IQ200" s="14"/>
      <c r="IS200" s="65"/>
      <c r="IT200" s="13"/>
      <c r="IU200" s="14"/>
      <c r="IW200" s="65"/>
      <c r="IX200" s="13"/>
      <c r="IY200" s="14"/>
      <c r="JA200" s="65"/>
      <c r="JB200" s="13"/>
      <c r="JC200" s="14"/>
      <c r="JE200" s="65"/>
      <c r="JF200" s="13"/>
      <c r="JG200" s="14"/>
      <c r="JI200" s="65"/>
      <c r="JJ200" s="13"/>
      <c r="JK200" s="14"/>
      <c r="JM200" s="65"/>
      <c r="JN200" s="13"/>
      <c r="JO200" s="14"/>
      <c r="JQ200" s="65"/>
      <c r="JR200" s="13"/>
      <c r="JS200" s="14"/>
      <c r="JU200" s="65"/>
      <c r="JV200" s="13"/>
      <c r="JW200" s="14"/>
      <c r="JY200" s="65"/>
      <c r="JZ200" s="13"/>
      <c r="KA200" s="14"/>
      <c r="KC200" s="65"/>
      <c r="KD200" s="13"/>
      <c r="KE200" s="14"/>
      <c r="KG200" s="65"/>
      <c r="KH200" s="13"/>
      <c r="KI200" s="14"/>
      <c r="KK200" s="65"/>
      <c r="KL200" s="13"/>
      <c r="KM200" s="14"/>
      <c r="KO200" s="65"/>
      <c r="KP200" s="13"/>
      <c r="KQ200" s="14"/>
      <c r="KS200" s="65"/>
      <c r="KT200" s="13"/>
      <c r="KU200" s="14"/>
      <c r="KW200" s="65"/>
      <c r="KX200" s="13"/>
      <c r="KY200" s="14"/>
      <c r="LA200" s="65"/>
      <c r="LB200" s="13"/>
      <c r="LC200" s="14"/>
      <c r="LE200" s="65"/>
      <c r="LF200" s="13"/>
      <c r="LG200" s="14"/>
      <c r="LI200" s="65"/>
      <c r="LJ200" s="13"/>
      <c r="LK200" s="14"/>
      <c r="LM200" s="65"/>
      <c r="LN200" s="13"/>
      <c r="LO200" s="14"/>
      <c r="LQ200" s="65"/>
      <c r="LR200" s="13"/>
      <c r="LS200" s="14"/>
      <c r="LU200" s="65"/>
      <c r="LV200" s="13"/>
      <c r="LW200" s="14"/>
      <c r="LY200" s="65"/>
      <c r="LZ200" s="13"/>
      <c r="MA200" s="14"/>
      <c r="MC200" s="65"/>
      <c r="MD200" s="13"/>
      <c r="ME200" s="14"/>
      <c r="MG200" s="65"/>
      <c r="MH200" s="13"/>
      <c r="MI200" s="14"/>
      <c r="MK200" s="65"/>
      <c r="ML200" s="13"/>
      <c r="MM200" s="14"/>
      <c r="MO200" s="65"/>
      <c r="MP200" s="13"/>
      <c r="MQ200" s="14"/>
      <c r="MS200" s="65"/>
      <c r="MT200" s="13"/>
      <c r="MU200" s="14"/>
    </row>
    <row r="201" spans="1:359" hidden="1" x14ac:dyDescent="0.25">
      <c r="A201" s="15">
        <f t="shared" ref="A201:A256" si="193">+O201</f>
        <v>0</v>
      </c>
      <c r="B201" s="20">
        <v>42895</v>
      </c>
      <c r="C201"/>
      <c r="D201" s="12"/>
      <c r="E201" s="12"/>
      <c r="I201" s="12"/>
      <c r="J201" s="12"/>
      <c r="N201" s="12"/>
      <c r="O201" s="12"/>
      <c r="T201" s="15"/>
      <c r="U201" s="20"/>
      <c r="V201" s="36"/>
      <c r="W201" s="12"/>
      <c r="X201" s="12"/>
      <c r="AB201" s="12"/>
      <c r="AC201" s="12"/>
      <c r="AG201" s="12"/>
      <c r="AH201" s="12"/>
      <c r="AK201" s="12"/>
      <c r="AL201" s="13"/>
      <c r="AM201" s="14"/>
      <c r="CK201" s="65"/>
      <c r="CL201" s="13"/>
      <c r="CO201" s="65"/>
      <c r="CP201" s="13"/>
      <c r="CS201" s="65"/>
      <c r="CT201" s="13"/>
      <c r="CW201" s="65"/>
      <c r="CX201" s="13"/>
      <c r="DA201" s="65"/>
      <c r="DB201" s="13"/>
      <c r="DE201" s="65"/>
      <c r="DF201" s="13"/>
      <c r="DI201" s="65"/>
      <c r="DJ201" s="13"/>
      <c r="DM201" s="65"/>
      <c r="DN201" s="13"/>
      <c r="DQ201" s="65"/>
      <c r="DR201" s="13"/>
      <c r="DU201" s="65"/>
      <c r="DV201" s="13"/>
      <c r="DY201" s="65"/>
      <c r="DZ201" s="13"/>
      <c r="EA201" s="14"/>
      <c r="EC201" s="65"/>
      <c r="ED201" s="13"/>
      <c r="EE201" s="14"/>
      <c r="EG201" s="65"/>
      <c r="EH201" s="13"/>
      <c r="EI201" s="14"/>
      <c r="EK201" s="65"/>
      <c r="EL201" s="13"/>
      <c r="EM201" s="14"/>
      <c r="EO201" s="65"/>
      <c r="EP201" s="13"/>
      <c r="EQ201" s="14"/>
      <c r="ES201" s="65"/>
      <c r="ET201" s="13"/>
      <c r="EU201" s="14"/>
      <c r="EW201" s="65"/>
      <c r="EX201" s="13"/>
      <c r="EY201" s="14"/>
      <c r="FA201" s="65"/>
      <c r="FB201" s="13"/>
      <c r="FC201" s="14"/>
      <c r="FE201" s="65"/>
      <c r="FF201" s="13"/>
      <c r="FG201" s="14"/>
      <c r="FI201" s="65"/>
      <c r="FJ201" s="13"/>
      <c r="FK201" s="14"/>
      <c r="FM201" s="65"/>
      <c r="FN201" s="13"/>
      <c r="FO201" s="14"/>
      <c r="FQ201" s="65"/>
      <c r="FR201" s="13"/>
      <c r="FS201" s="14"/>
      <c r="FU201" s="65"/>
      <c r="FV201" s="13"/>
      <c r="FW201" s="14"/>
      <c r="FY201" s="65"/>
      <c r="FZ201" s="13"/>
      <c r="GA201" s="14"/>
      <c r="GC201" s="65"/>
      <c r="GD201" s="13"/>
      <c r="GE201" s="14"/>
      <c r="GG201" s="65"/>
      <c r="GH201" s="13"/>
      <c r="GI201" s="14"/>
      <c r="GK201" s="65"/>
      <c r="GL201" s="13"/>
      <c r="GM201" s="14"/>
      <c r="GO201" s="65"/>
      <c r="GP201" s="13"/>
      <c r="GQ201" s="14"/>
      <c r="GS201" s="65"/>
      <c r="GT201" s="13"/>
      <c r="GU201" s="14"/>
      <c r="GW201" s="65"/>
      <c r="GX201" s="13"/>
      <c r="GY201" s="14"/>
      <c r="HA201" s="65"/>
      <c r="HB201" s="13"/>
      <c r="HC201" s="14"/>
      <c r="HE201" s="65"/>
      <c r="HF201" s="13"/>
      <c r="HG201" s="14"/>
      <c r="HI201" s="65"/>
      <c r="HJ201" s="13"/>
      <c r="HK201" s="14"/>
      <c r="HM201" s="65"/>
      <c r="HN201" s="13"/>
      <c r="HO201" s="14"/>
      <c r="HQ201" s="65"/>
      <c r="HR201" s="13"/>
      <c r="HS201" s="14"/>
      <c r="HU201" s="65"/>
      <c r="HV201" s="13"/>
      <c r="HW201" s="14"/>
      <c r="HY201" s="65"/>
      <c r="HZ201" s="13"/>
      <c r="IA201" s="14"/>
      <c r="IC201" s="65"/>
      <c r="ID201" s="13"/>
      <c r="IE201" s="14"/>
      <c r="IG201" s="65"/>
      <c r="IH201" s="13"/>
      <c r="II201" s="14"/>
      <c r="IK201" s="65"/>
      <c r="IL201" s="13"/>
      <c r="IM201" s="14"/>
      <c r="IO201" s="65"/>
      <c r="IP201" s="13"/>
      <c r="IQ201" s="14"/>
      <c r="IS201" s="65"/>
      <c r="IT201" s="13"/>
      <c r="IU201" s="14"/>
      <c r="IW201" s="65"/>
      <c r="IX201" s="13"/>
      <c r="IY201" s="14"/>
      <c r="JA201" s="65"/>
      <c r="JB201" s="13"/>
      <c r="JC201" s="14"/>
      <c r="JE201" s="65"/>
      <c r="JF201" s="13"/>
      <c r="JG201" s="14"/>
      <c r="JI201" s="65"/>
      <c r="JJ201" s="13"/>
      <c r="JK201" s="14"/>
      <c r="JM201" s="65"/>
      <c r="JN201" s="13"/>
      <c r="JO201" s="14"/>
      <c r="JQ201" s="65"/>
      <c r="JR201" s="13"/>
      <c r="JS201" s="14"/>
      <c r="JU201" s="65"/>
      <c r="JV201" s="13"/>
      <c r="JW201" s="14"/>
      <c r="JY201" s="65"/>
      <c r="JZ201" s="13"/>
      <c r="KA201" s="14"/>
      <c r="KC201" s="65"/>
      <c r="KD201" s="13"/>
      <c r="KE201" s="14"/>
      <c r="KG201" s="65"/>
      <c r="KH201" s="13"/>
      <c r="KI201" s="14"/>
      <c r="KK201" s="65"/>
      <c r="KL201" s="13"/>
      <c r="KM201" s="14"/>
      <c r="KO201" s="65"/>
      <c r="KP201" s="13"/>
      <c r="KQ201" s="14"/>
      <c r="KS201" s="65"/>
      <c r="KT201" s="13"/>
      <c r="KU201" s="14"/>
      <c r="KW201" s="65"/>
      <c r="KX201" s="13"/>
      <c r="KY201" s="14"/>
      <c r="LA201" s="65"/>
      <c r="LB201" s="13"/>
      <c r="LC201" s="14"/>
      <c r="LE201" s="65"/>
      <c r="LF201" s="13"/>
      <c r="LG201" s="14"/>
      <c r="LI201" s="65"/>
      <c r="LJ201" s="13"/>
      <c r="LK201" s="14"/>
      <c r="LM201" s="65"/>
      <c r="LN201" s="13"/>
      <c r="LO201" s="14"/>
      <c r="LQ201" s="65"/>
      <c r="LR201" s="13"/>
      <c r="LS201" s="14"/>
      <c r="LU201" s="65"/>
      <c r="LV201" s="13"/>
      <c r="LW201" s="14"/>
      <c r="LY201" s="65"/>
      <c r="LZ201" s="13"/>
      <c r="MA201" s="14"/>
      <c r="MC201" s="65"/>
      <c r="MD201" s="13"/>
      <c r="ME201" s="14"/>
      <c r="MG201" s="65"/>
      <c r="MH201" s="13"/>
      <c r="MI201" s="14"/>
      <c r="MK201" s="65"/>
      <c r="ML201" s="13"/>
      <c r="MM201" s="14"/>
      <c r="MO201" s="65"/>
      <c r="MP201" s="13"/>
      <c r="MQ201" s="14"/>
      <c r="MS201" s="65"/>
      <c r="MT201" s="13"/>
      <c r="MU201" s="14"/>
    </row>
    <row r="202" spans="1:359" hidden="1" x14ac:dyDescent="0.25">
      <c r="A202" s="15">
        <f t="shared" si="193"/>
        <v>0</v>
      </c>
      <c r="B202" s="20">
        <v>42896</v>
      </c>
      <c r="C202"/>
      <c r="D202" s="12"/>
      <c r="E202" s="12"/>
      <c r="I202" s="12"/>
      <c r="J202" s="12"/>
      <c r="N202" s="12"/>
      <c r="O202" s="12"/>
      <c r="T202" s="15"/>
      <c r="U202" s="20"/>
      <c r="V202" s="36"/>
      <c r="W202" s="12"/>
      <c r="X202" s="12"/>
      <c r="AB202" s="12"/>
      <c r="AC202" s="12"/>
      <c r="AG202" s="12"/>
      <c r="AH202" s="12"/>
      <c r="AK202" s="12"/>
      <c r="AL202" s="13"/>
      <c r="AM202" s="14"/>
      <c r="CK202" s="65"/>
      <c r="CL202" s="13"/>
      <c r="CO202" s="65"/>
      <c r="CP202" s="13"/>
      <c r="CS202" s="65"/>
      <c r="CT202" s="13"/>
      <c r="CW202" s="65"/>
      <c r="CX202" s="13"/>
      <c r="DA202" s="65"/>
      <c r="DB202" s="13"/>
      <c r="DE202" s="65"/>
      <c r="DF202" s="13"/>
      <c r="DI202" s="65"/>
      <c r="DJ202" s="13"/>
      <c r="DM202" s="65"/>
      <c r="DN202" s="13"/>
      <c r="DQ202" s="65"/>
      <c r="DR202" s="13"/>
      <c r="DU202" s="65"/>
      <c r="DV202" s="13"/>
      <c r="DY202" s="65"/>
      <c r="DZ202" s="13"/>
      <c r="EA202" s="14"/>
      <c r="EC202" s="65"/>
      <c r="ED202" s="13"/>
      <c r="EE202" s="14"/>
      <c r="EG202" s="65"/>
      <c r="EH202" s="13"/>
      <c r="EI202" s="14"/>
      <c r="EK202" s="65"/>
      <c r="EL202" s="13"/>
      <c r="EM202" s="14"/>
      <c r="EO202" s="65"/>
      <c r="EP202" s="13"/>
      <c r="EQ202" s="14"/>
      <c r="ES202" s="65"/>
      <c r="ET202" s="13"/>
      <c r="EU202" s="14"/>
      <c r="EW202" s="65"/>
      <c r="EX202" s="13"/>
      <c r="EY202" s="14"/>
      <c r="FA202" s="65"/>
      <c r="FB202" s="13"/>
      <c r="FC202" s="14"/>
      <c r="FE202" s="65"/>
      <c r="FF202" s="13"/>
      <c r="FG202" s="14"/>
      <c r="FI202" s="65"/>
      <c r="FJ202" s="13"/>
      <c r="FK202" s="14"/>
      <c r="FM202" s="65"/>
      <c r="FN202" s="13"/>
      <c r="FO202" s="14"/>
      <c r="FQ202" s="65"/>
      <c r="FR202" s="13"/>
      <c r="FS202" s="14"/>
      <c r="FU202" s="65"/>
      <c r="FV202" s="13"/>
      <c r="FW202" s="14"/>
      <c r="FY202" s="65"/>
      <c r="FZ202" s="13"/>
      <c r="GA202" s="14"/>
      <c r="GC202" s="65"/>
      <c r="GD202" s="13"/>
      <c r="GE202" s="14"/>
      <c r="GG202" s="65"/>
      <c r="GH202" s="13"/>
      <c r="GI202" s="14"/>
      <c r="GK202" s="65"/>
      <c r="GL202" s="13"/>
      <c r="GM202" s="14"/>
      <c r="GO202" s="65"/>
      <c r="GP202" s="13"/>
      <c r="GQ202" s="14"/>
      <c r="GS202" s="65"/>
      <c r="GT202" s="13"/>
      <c r="GU202" s="14"/>
      <c r="GW202" s="65"/>
      <c r="GX202" s="13"/>
      <c r="GY202" s="14"/>
      <c r="HA202" s="65"/>
      <c r="HB202" s="13"/>
      <c r="HC202" s="14"/>
      <c r="HE202" s="65"/>
      <c r="HF202" s="13"/>
      <c r="HG202" s="14"/>
      <c r="HI202" s="65"/>
      <c r="HJ202" s="13"/>
      <c r="HK202" s="14"/>
      <c r="HM202" s="65"/>
      <c r="HN202" s="13"/>
      <c r="HO202" s="14"/>
      <c r="HQ202" s="65"/>
      <c r="HR202" s="13"/>
      <c r="HS202" s="14"/>
      <c r="HU202" s="65"/>
      <c r="HV202" s="13"/>
      <c r="HW202" s="14"/>
      <c r="HY202" s="65"/>
      <c r="HZ202" s="13"/>
      <c r="IA202" s="14"/>
      <c r="IC202" s="65"/>
      <c r="ID202" s="13"/>
      <c r="IE202" s="14"/>
      <c r="IG202" s="65"/>
      <c r="IH202" s="13"/>
      <c r="II202" s="14"/>
      <c r="IK202" s="65"/>
      <c r="IL202" s="13"/>
      <c r="IM202" s="14"/>
      <c r="IO202" s="65"/>
      <c r="IP202" s="13"/>
      <c r="IQ202" s="14"/>
      <c r="IS202" s="65"/>
      <c r="IT202" s="13"/>
      <c r="IU202" s="14"/>
      <c r="IW202" s="65"/>
      <c r="IX202" s="13"/>
      <c r="IY202" s="14"/>
      <c r="JA202" s="65"/>
      <c r="JB202" s="13"/>
      <c r="JC202" s="14"/>
      <c r="JE202" s="65"/>
      <c r="JF202" s="13"/>
      <c r="JG202" s="14"/>
      <c r="JI202" s="65"/>
      <c r="JJ202" s="13"/>
      <c r="JK202" s="14"/>
      <c r="JM202" s="65"/>
      <c r="JN202" s="13"/>
      <c r="JO202" s="14"/>
      <c r="JQ202" s="65"/>
      <c r="JR202" s="13"/>
      <c r="JS202" s="14"/>
      <c r="JU202" s="65"/>
      <c r="JV202" s="13"/>
      <c r="JW202" s="14"/>
      <c r="JY202" s="65"/>
      <c r="JZ202" s="13"/>
      <c r="KA202" s="14"/>
      <c r="KC202" s="65"/>
      <c r="KD202" s="13"/>
      <c r="KE202" s="14"/>
      <c r="KG202" s="65"/>
      <c r="KH202" s="13"/>
      <c r="KI202" s="14"/>
      <c r="KK202" s="65"/>
      <c r="KL202" s="13"/>
      <c r="KM202" s="14"/>
      <c r="KO202" s="65"/>
      <c r="KP202" s="13"/>
      <c r="KQ202" s="14"/>
      <c r="KS202" s="65"/>
      <c r="KT202" s="13"/>
      <c r="KU202" s="14"/>
      <c r="KW202" s="65"/>
      <c r="KX202" s="13"/>
      <c r="KY202" s="14"/>
      <c r="LA202" s="65"/>
      <c r="LB202" s="13"/>
      <c r="LC202" s="14"/>
      <c r="LE202" s="65"/>
      <c r="LF202" s="13"/>
      <c r="LG202" s="14"/>
      <c r="LI202" s="65"/>
      <c r="LJ202" s="13"/>
      <c r="LK202" s="14"/>
      <c r="LM202" s="65"/>
      <c r="LN202" s="13"/>
      <c r="LO202" s="14"/>
      <c r="LQ202" s="65"/>
      <c r="LR202" s="13"/>
      <c r="LS202" s="14"/>
      <c r="LU202" s="65"/>
      <c r="LV202" s="13"/>
      <c r="LW202" s="14"/>
      <c r="LY202" s="65"/>
      <c r="LZ202" s="13"/>
      <c r="MA202" s="14"/>
      <c r="MC202" s="65"/>
      <c r="MD202" s="13"/>
      <c r="ME202" s="14"/>
      <c r="MG202" s="65"/>
      <c r="MH202" s="13"/>
      <c r="MI202" s="14"/>
      <c r="MK202" s="65"/>
      <c r="ML202" s="13"/>
      <c r="MM202" s="14"/>
      <c r="MO202" s="65"/>
      <c r="MP202" s="13"/>
      <c r="MQ202" s="14"/>
      <c r="MS202" s="65"/>
      <c r="MT202" s="13"/>
      <c r="MU202" s="14"/>
    </row>
    <row r="203" spans="1:359" hidden="1" x14ac:dyDescent="0.25">
      <c r="A203" s="15">
        <f t="shared" si="193"/>
        <v>0</v>
      </c>
      <c r="B203" s="20">
        <v>42897</v>
      </c>
      <c r="C203"/>
      <c r="D203" s="12"/>
      <c r="E203" s="12"/>
      <c r="I203" s="12"/>
      <c r="J203" s="12"/>
      <c r="N203" s="12"/>
      <c r="O203" s="12"/>
      <c r="T203" s="15"/>
      <c r="U203" s="20"/>
      <c r="V203" s="36"/>
      <c r="W203" s="12"/>
      <c r="X203" s="12"/>
      <c r="AB203" s="12"/>
      <c r="AC203" s="12"/>
      <c r="AG203" s="12"/>
      <c r="AH203" s="12"/>
      <c r="AK203" s="12"/>
      <c r="AL203" s="13"/>
      <c r="AM203" s="14"/>
      <c r="CK203" s="65"/>
      <c r="CL203" s="13"/>
      <c r="CO203" s="65"/>
      <c r="CP203" s="13"/>
      <c r="CS203" s="65"/>
      <c r="CT203" s="13"/>
      <c r="CW203" s="65"/>
      <c r="CX203" s="13"/>
      <c r="DA203" s="65"/>
      <c r="DB203" s="13"/>
      <c r="DE203" s="65"/>
      <c r="DF203" s="13"/>
      <c r="DI203" s="65"/>
      <c r="DJ203" s="13"/>
      <c r="DM203" s="65"/>
      <c r="DN203" s="13"/>
      <c r="DQ203" s="65"/>
      <c r="DR203" s="13"/>
      <c r="DU203" s="65"/>
      <c r="DV203" s="13"/>
      <c r="DY203" s="65"/>
      <c r="DZ203" s="13"/>
      <c r="EA203" s="14"/>
      <c r="EC203" s="65"/>
      <c r="ED203" s="13"/>
      <c r="EE203" s="14"/>
      <c r="EG203" s="65"/>
      <c r="EH203" s="13"/>
      <c r="EI203" s="14"/>
      <c r="EK203" s="65"/>
      <c r="EL203" s="13"/>
      <c r="EM203" s="14"/>
      <c r="EO203" s="65"/>
      <c r="EP203" s="13"/>
      <c r="EQ203" s="14"/>
      <c r="ES203" s="65"/>
      <c r="ET203" s="13"/>
      <c r="EU203" s="14"/>
      <c r="EW203" s="65"/>
      <c r="EX203" s="13"/>
      <c r="EY203" s="14"/>
      <c r="FA203" s="65"/>
      <c r="FB203" s="13"/>
      <c r="FC203" s="14"/>
      <c r="FE203" s="65"/>
      <c r="FF203" s="13"/>
      <c r="FG203" s="14"/>
      <c r="FI203" s="65"/>
      <c r="FJ203" s="13"/>
      <c r="FK203" s="14"/>
      <c r="FM203" s="65"/>
      <c r="FN203" s="13"/>
      <c r="FO203" s="14"/>
      <c r="FQ203" s="65"/>
      <c r="FR203" s="13"/>
      <c r="FS203" s="14"/>
      <c r="FU203" s="65"/>
      <c r="FV203" s="13"/>
      <c r="FW203" s="14"/>
      <c r="FY203" s="65"/>
      <c r="FZ203" s="13"/>
      <c r="GA203" s="14"/>
      <c r="GC203" s="65"/>
      <c r="GD203" s="13"/>
      <c r="GE203" s="14"/>
      <c r="GG203" s="65"/>
      <c r="GH203" s="13"/>
      <c r="GI203" s="14"/>
      <c r="GK203" s="65"/>
      <c r="GL203" s="13"/>
      <c r="GM203" s="14"/>
      <c r="GO203" s="65"/>
      <c r="GP203" s="13"/>
      <c r="GQ203" s="14"/>
      <c r="GS203" s="65"/>
      <c r="GT203" s="13"/>
      <c r="GU203" s="14"/>
      <c r="GW203" s="65"/>
      <c r="GX203" s="13"/>
      <c r="GY203" s="14"/>
      <c r="HA203" s="65"/>
      <c r="HB203" s="13"/>
      <c r="HC203" s="14"/>
      <c r="HE203" s="65"/>
      <c r="HF203" s="13"/>
      <c r="HG203" s="14"/>
      <c r="HI203" s="65"/>
      <c r="HJ203" s="13"/>
      <c r="HK203" s="14"/>
      <c r="HM203" s="65"/>
      <c r="HN203" s="13"/>
      <c r="HO203" s="14"/>
      <c r="HQ203" s="65"/>
      <c r="HR203" s="13"/>
      <c r="HS203" s="14"/>
      <c r="HU203" s="65"/>
      <c r="HV203" s="13"/>
      <c r="HW203" s="14"/>
      <c r="HY203" s="65"/>
      <c r="HZ203" s="13"/>
      <c r="IA203" s="14"/>
      <c r="IC203" s="65"/>
      <c r="ID203" s="13"/>
      <c r="IE203" s="14"/>
      <c r="IG203" s="65"/>
      <c r="IH203" s="13"/>
      <c r="II203" s="14"/>
      <c r="IK203" s="65"/>
      <c r="IL203" s="13"/>
      <c r="IM203" s="14"/>
      <c r="IO203" s="65"/>
      <c r="IP203" s="13"/>
      <c r="IQ203" s="14"/>
      <c r="IS203" s="65"/>
      <c r="IT203" s="13"/>
      <c r="IU203" s="14"/>
      <c r="IW203" s="65"/>
      <c r="IX203" s="13"/>
      <c r="IY203" s="14"/>
      <c r="JA203" s="65"/>
      <c r="JB203" s="13"/>
      <c r="JC203" s="14"/>
      <c r="JE203" s="65"/>
      <c r="JF203" s="13"/>
      <c r="JG203" s="14"/>
      <c r="JI203" s="65"/>
      <c r="JJ203" s="13"/>
      <c r="JK203" s="14"/>
      <c r="JM203" s="65"/>
      <c r="JN203" s="13"/>
      <c r="JO203" s="14"/>
      <c r="JQ203" s="65"/>
      <c r="JR203" s="13"/>
      <c r="JS203" s="14"/>
      <c r="JU203" s="65"/>
      <c r="JV203" s="13"/>
      <c r="JW203" s="14"/>
      <c r="JY203" s="65"/>
      <c r="JZ203" s="13"/>
      <c r="KA203" s="14"/>
      <c r="KC203" s="65"/>
      <c r="KD203" s="13"/>
      <c r="KE203" s="14"/>
      <c r="KG203" s="65"/>
      <c r="KH203" s="13"/>
      <c r="KI203" s="14"/>
      <c r="KK203" s="65"/>
      <c r="KL203" s="13"/>
      <c r="KM203" s="14"/>
      <c r="KO203" s="65"/>
      <c r="KP203" s="13"/>
      <c r="KQ203" s="14"/>
      <c r="KS203" s="65"/>
      <c r="KT203" s="13"/>
      <c r="KU203" s="14"/>
      <c r="KW203" s="65"/>
      <c r="KX203" s="13"/>
      <c r="KY203" s="14"/>
      <c r="LA203" s="65"/>
      <c r="LB203" s="13"/>
      <c r="LC203" s="14"/>
      <c r="LE203" s="65"/>
      <c r="LF203" s="13"/>
      <c r="LG203" s="14"/>
      <c r="LI203" s="65"/>
      <c r="LJ203" s="13"/>
      <c r="LK203" s="14"/>
      <c r="LM203" s="65"/>
      <c r="LN203" s="13"/>
      <c r="LO203" s="14"/>
      <c r="LQ203" s="65"/>
      <c r="LR203" s="13"/>
      <c r="LS203" s="14"/>
      <c r="LU203" s="65"/>
      <c r="LV203" s="13"/>
      <c r="LW203" s="14"/>
      <c r="LY203" s="65"/>
      <c r="LZ203" s="13"/>
      <c r="MA203" s="14"/>
      <c r="MC203" s="65"/>
      <c r="MD203" s="13"/>
      <c r="ME203" s="14"/>
      <c r="MG203" s="65"/>
      <c r="MH203" s="13"/>
      <c r="MI203" s="14"/>
      <c r="MK203" s="65"/>
      <c r="ML203" s="13"/>
      <c r="MM203" s="14"/>
      <c r="MO203" s="65"/>
      <c r="MP203" s="13"/>
      <c r="MQ203" s="14"/>
      <c r="MS203" s="65"/>
      <c r="MT203" s="13"/>
      <c r="MU203" s="14"/>
    </row>
    <row r="204" spans="1:359" hidden="1" x14ac:dyDescent="0.25">
      <c r="A204" s="15">
        <f t="shared" si="193"/>
        <v>0</v>
      </c>
      <c r="B204" s="20">
        <v>42898</v>
      </c>
      <c r="C204"/>
      <c r="D204" s="12"/>
      <c r="E204" s="12"/>
      <c r="I204" s="12"/>
      <c r="J204" s="12"/>
      <c r="N204" s="12"/>
      <c r="O204" s="12"/>
      <c r="T204" s="15"/>
      <c r="U204" s="20"/>
      <c r="V204" s="36"/>
      <c r="W204" s="12"/>
      <c r="X204" s="12"/>
      <c r="AB204" s="12"/>
      <c r="AC204" s="12"/>
      <c r="AG204" s="12"/>
      <c r="AH204" s="12"/>
      <c r="AK204" s="12"/>
      <c r="AL204" s="13"/>
      <c r="AM204" s="14"/>
      <c r="CK204" s="65"/>
      <c r="CL204" s="13"/>
      <c r="CO204" s="65"/>
      <c r="CP204" s="13"/>
      <c r="CS204" s="65"/>
      <c r="CT204" s="13"/>
      <c r="CW204" s="65"/>
      <c r="CX204" s="13"/>
      <c r="DA204" s="65"/>
      <c r="DB204" s="13"/>
      <c r="DE204" s="65"/>
      <c r="DF204" s="13"/>
      <c r="DI204" s="65"/>
      <c r="DJ204" s="13"/>
      <c r="DM204" s="65"/>
      <c r="DN204" s="13"/>
      <c r="DQ204" s="65"/>
      <c r="DR204" s="13"/>
      <c r="DU204" s="65"/>
      <c r="DV204" s="13"/>
      <c r="DY204" s="65"/>
      <c r="DZ204" s="13"/>
      <c r="EA204" s="14"/>
      <c r="EC204" s="65"/>
      <c r="ED204" s="13"/>
      <c r="EE204" s="14"/>
      <c r="EG204" s="65"/>
      <c r="EH204" s="13"/>
      <c r="EI204" s="14"/>
      <c r="EK204" s="65"/>
      <c r="EL204" s="13"/>
      <c r="EM204" s="14"/>
      <c r="EO204" s="65"/>
      <c r="EP204" s="13"/>
      <c r="EQ204" s="14"/>
      <c r="ES204" s="65"/>
      <c r="ET204" s="13"/>
      <c r="EU204" s="14"/>
      <c r="EW204" s="65"/>
      <c r="EX204" s="13"/>
      <c r="EY204" s="14"/>
      <c r="FA204" s="65"/>
      <c r="FB204" s="13"/>
      <c r="FC204" s="14"/>
      <c r="FE204" s="65"/>
      <c r="FF204" s="13"/>
      <c r="FG204" s="14"/>
      <c r="FI204" s="65"/>
      <c r="FJ204" s="13"/>
      <c r="FK204" s="14"/>
      <c r="FM204" s="65"/>
      <c r="FN204" s="13"/>
      <c r="FO204" s="14"/>
      <c r="FQ204" s="65"/>
      <c r="FR204" s="13"/>
      <c r="FS204" s="14"/>
      <c r="FU204" s="65"/>
      <c r="FV204" s="13"/>
      <c r="FW204" s="14"/>
      <c r="FY204" s="65"/>
      <c r="FZ204" s="13"/>
      <c r="GA204" s="14"/>
      <c r="GC204" s="65"/>
      <c r="GD204" s="13"/>
      <c r="GE204" s="14"/>
      <c r="GG204" s="65"/>
      <c r="GH204" s="13"/>
      <c r="GI204" s="14"/>
      <c r="GK204" s="65"/>
      <c r="GL204" s="13"/>
      <c r="GM204" s="14"/>
      <c r="GO204" s="65"/>
      <c r="GP204" s="13"/>
      <c r="GQ204" s="14"/>
      <c r="GS204" s="65"/>
      <c r="GT204" s="13"/>
      <c r="GU204" s="14"/>
      <c r="GW204" s="65"/>
      <c r="GX204" s="13"/>
      <c r="GY204" s="14"/>
      <c r="HA204" s="65"/>
      <c r="HB204" s="13"/>
      <c r="HC204" s="14"/>
      <c r="HE204" s="65"/>
      <c r="HF204" s="13"/>
      <c r="HG204" s="14"/>
      <c r="HI204" s="65"/>
      <c r="HJ204" s="13"/>
      <c r="HK204" s="14"/>
      <c r="HM204" s="65"/>
      <c r="HN204" s="13"/>
      <c r="HO204" s="14"/>
      <c r="HQ204" s="65"/>
      <c r="HR204" s="13"/>
      <c r="HS204" s="14"/>
      <c r="HU204" s="65"/>
      <c r="HV204" s="13"/>
      <c r="HW204" s="14"/>
      <c r="HY204" s="65"/>
      <c r="HZ204" s="13"/>
      <c r="IA204" s="14"/>
      <c r="IC204" s="65"/>
      <c r="ID204" s="13"/>
      <c r="IE204" s="14"/>
      <c r="IG204" s="65"/>
      <c r="IH204" s="13"/>
      <c r="II204" s="14"/>
      <c r="IK204" s="65"/>
      <c r="IL204" s="13"/>
      <c r="IM204" s="14"/>
      <c r="IO204" s="65"/>
      <c r="IP204" s="13"/>
      <c r="IQ204" s="14"/>
      <c r="IS204" s="65"/>
      <c r="IT204" s="13"/>
      <c r="IU204" s="14"/>
      <c r="IW204" s="65"/>
      <c r="IX204" s="13"/>
      <c r="IY204" s="14"/>
      <c r="JA204" s="65"/>
      <c r="JB204" s="13"/>
      <c r="JC204" s="14"/>
      <c r="JE204" s="65"/>
      <c r="JF204" s="13"/>
      <c r="JG204" s="14"/>
      <c r="JI204" s="65"/>
      <c r="JJ204" s="13"/>
      <c r="JK204" s="14"/>
      <c r="JM204" s="65"/>
      <c r="JN204" s="13"/>
      <c r="JO204" s="14"/>
      <c r="JQ204" s="65"/>
      <c r="JR204" s="13"/>
      <c r="JS204" s="14"/>
      <c r="JU204" s="65"/>
      <c r="JV204" s="13"/>
      <c r="JW204" s="14"/>
      <c r="JY204" s="65"/>
      <c r="JZ204" s="13"/>
      <c r="KA204" s="14"/>
      <c r="KC204" s="65"/>
      <c r="KD204" s="13"/>
      <c r="KE204" s="14"/>
      <c r="KG204" s="65"/>
      <c r="KH204" s="13"/>
      <c r="KI204" s="14"/>
      <c r="KK204" s="65"/>
      <c r="KL204" s="13"/>
      <c r="KM204" s="14"/>
      <c r="KO204" s="65"/>
      <c r="KP204" s="13"/>
      <c r="KQ204" s="14"/>
      <c r="KS204" s="65"/>
      <c r="KT204" s="13"/>
      <c r="KU204" s="14"/>
      <c r="KW204" s="65"/>
      <c r="KX204" s="13"/>
      <c r="KY204" s="14"/>
      <c r="LA204" s="65"/>
      <c r="LB204" s="13"/>
      <c r="LC204" s="14"/>
      <c r="LE204" s="65"/>
      <c r="LF204" s="13"/>
      <c r="LG204" s="14"/>
      <c r="LI204" s="65"/>
      <c r="LJ204" s="13"/>
      <c r="LK204" s="14"/>
      <c r="LM204" s="65"/>
      <c r="LN204" s="13"/>
      <c r="LO204" s="14"/>
      <c r="LQ204" s="65"/>
      <c r="LR204" s="13"/>
      <c r="LS204" s="14"/>
      <c r="LU204" s="65"/>
      <c r="LV204" s="13"/>
      <c r="LW204" s="14"/>
      <c r="LY204" s="65"/>
      <c r="LZ204" s="13"/>
      <c r="MA204" s="14"/>
      <c r="MC204" s="65"/>
      <c r="MD204" s="13"/>
      <c r="ME204" s="14"/>
      <c r="MG204" s="65"/>
      <c r="MH204" s="13"/>
      <c r="MI204" s="14"/>
      <c r="MK204" s="65"/>
      <c r="ML204" s="13"/>
      <c r="MM204" s="14"/>
      <c r="MO204" s="65"/>
      <c r="MP204" s="13"/>
      <c r="MQ204" s="14"/>
      <c r="MS204" s="65"/>
      <c r="MT204" s="13"/>
      <c r="MU204" s="14"/>
    </row>
    <row r="205" spans="1:359" hidden="1" x14ac:dyDescent="0.25">
      <c r="A205" s="15">
        <f t="shared" si="193"/>
        <v>0</v>
      </c>
      <c r="B205" s="20">
        <v>42899</v>
      </c>
      <c r="C205"/>
      <c r="D205" s="12"/>
      <c r="E205" s="12"/>
      <c r="I205" s="12"/>
      <c r="J205" s="12"/>
      <c r="N205" s="12"/>
      <c r="O205" s="12"/>
      <c r="T205" s="15"/>
      <c r="U205" s="20"/>
      <c r="V205" s="36"/>
      <c r="W205" s="12"/>
      <c r="X205" s="12"/>
      <c r="AB205" s="12"/>
      <c r="AC205" s="12"/>
      <c r="AG205" s="12"/>
      <c r="AH205" s="12"/>
      <c r="AK205" s="12"/>
      <c r="AL205" s="13"/>
      <c r="AM205" s="14"/>
      <c r="CK205" s="65"/>
      <c r="CL205" s="13"/>
      <c r="CO205" s="65"/>
      <c r="CP205" s="13"/>
      <c r="CS205" s="65"/>
      <c r="CT205" s="13"/>
      <c r="CW205" s="65"/>
      <c r="CX205" s="13"/>
      <c r="DA205" s="65"/>
      <c r="DB205" s="13"/>
      <c r="DE205" s="65"/>
      <c r="DF205" s="13"/>
      <c r="DI205" s="65"/>
      <c r="DJ205" s="13"/>
      <c r="DM205" s="65"/>
      <c r="DN205" s="13"/>
      <c r="DQ205" s="65"/>
      <c r="DR205" s="13"/>
      <c r="DU205" s="65"/>
      <c r="DV205" s="13"/>
      <c r="DY205" s="65"/>
      <c r="DZ205" s="13"/>
      <c r="EA205" s="14"/>
      <c r="EC205" s="65"/>
      <c r="ED205" s="13"/>
      <c r="EE205" s="14"/>
      <c r="EG205" s="65"/>
      <c r="EH205" s="13"/>
      <c r="EI205" s="14"/>
      <c r="EK205" s="65"/>
      <c r="EL205" s="13"/>
      <c r="EM205" s="14"/>
      <c r="EO205" s="65"/>
      <c r="EP205" s="13"/>
      <c r="EQ205" s="14"/>
      <c r="ES205" s="65"/>
      <c r="ET205" s="13"/>
      <c r="EU205" s="14"/>
      <c r="EW205" s="65"/>
      <c r="EX205" s="13"/>
      <c r="EY205" s="14"/>
      <c r="FA205" s="65"/>
      <c r="FB205" s="13"/>
      <c r="FC205" s="14"/>
      <c r="FE205" s="65"/>
      <c r="FF205" s="13"/>
      <c r="FG205" s="14"/>
      <c r="FI205" s="65"/>
      <c r="FJ205" s="13"/>
      <c r="FK205" s="14"/>
      <c r="FM205" s="65"/>
      <c r="FN205" s="13"/>
      <c r="FO205" s="14"/>
      <c r="FQ205" s="65"/>
      <c r="FR205" s="13"/>
      <c r="FS205" s="14"/>
      <c r="FU205" s="65"/>
      <c r="FV205" s="13"/>
      <c r="FW205" s="14"/>
      <c r="FY205" s="65"/>
      <c r="FZ205" s="13"/>
      <c r="GA205" s="14"/>
      <c r="GC205" s="65"/>
      <c r="GD205" s="13"/>
      <c r="GE205" s="14"/>
      <c r="GG205" s="65"/>
      <c r="GH205" s="13"/>
      <c r="GI205" s="14"/>
      <c r="GK205" s="65"/>
      <c r="GL205" s="13"/>
      <c r="GM205" s="14"/>
      <c r="GO205" s="65"/>
      <c r="GP205" s="13"/>
      <c r="GQ205" s="14"/>
      <c r="GS205" s="65"/>
      <c r="GT205" s="13"/>
      <c r="GU205" s="14"/>
      <c r="GW205" s="65"/>
      <c r="GX205" s="13"/>
      <c r="GY205" s="14"/>
      <c r="HA205" s="65"/>
      <c r="HB205" s="13"/>
      <c r="HC205" s="14"/>
      <c r="HE205" s="65"/>
      <c r="HF205" s="13"/>
      <c r="HG205" s="14"/>
      <c r="HI205" s="65"/>
      <c r="HJ205" s="13"/>
      <c r="HK205" s="14"/>
      <c r="HM205" s="65"/>
      <c r="HN205" s="13"/>
      <c r="HO205" s="14"/>
      <c r="HQ205" s="65"/>
      <c r="HR205" s="13"/>
      <c r="HS205" s="14"/>
      <c r="HU205" s="65"/>
      <c r="HV205" s="13"/>
      <c r="HW205" s="14"/>
      <c r="HY205" s="65"/>
      <c r="HZ205" s="13"/>
      <c r="IA205" s="14"/>
      <c r="IC205" s="65"/>
      <c r="ID205" s="13"/>
      <c r="IE205" s="14"/>
      <c r="IG205" s="65"/>
      <c r="IH205" s="13"/>
      <c r="II205" s="14"/>
      <c r="IK205" s="65"/>
      <c r="IL205" s="13"/>
      <c r="IM205" s="14"/>
      <c r="IO205" s="65"/>
      <c r="IP205" s="13"/>
      <c r="IQ205" s="14"/>
      <c r="IS205" s="65"/>
      <c r="IT205" s="13"/>
      <c r="IU205" s="14"/>
      <c r="IW205" s="65"/>
      <c r="IX205" s="13"/>
      <c r="IY205" s="14"/>
      <c r="JA205" s="65"/>
      <c r="JB205" s="13"/>
      <c r="JC205" s="14"/>
      <c r="JE205" s="65"/>
      <c r="JF205" s="13"/>
      <c r="JG205" s="14"/>
      <c r="JI205" s="65"/>
      <c r="JJ205" s="13"/>
      <c r="JK205" s="14"/>
      <c r="JM205" s="65"/>
      <c r="JN205" s="13"/>
      <c r="JO205" s="14"/>
      <c r="JQ205" s="65"/>
      <c r="JR205" s="13"/>
      <c r="JS205" s="14"/>
      <c r="JU205" s="65"/>
      <c r="JV205" s="13"/>
      <c r="JW205" s="14"/>
      <c r="JY205" s="65"/>
      <c r="JZ205" s="13"/>
      <c r="KA205" s="14"/>
      <c r="KC205" s="65"/>
      <c r="KD205" s="13"/>
      <c r="KE205" s="14"/>
      <c r="KG205" s="65"/>
      <c r="KH205" s="13"/>
      <c r="KI205" s="14"/>
      <c r="KK205" s="65"/>
      <c r="KL205" s="13"/>
      <c r="KM205" s="14"/>
      <c r="KO205" s="65"/>
      <c r="KP205" s="13"/>
      <c r="KQ205" s="14"/>
      <c r="KS205" s="65"/>
      <c r="KT205" s="13"/>
      <c r="KU205" s="14"/>
      <c r="KW205" s="65"/>
      <c r="KX205" s="13"/>
      <c r="KY205" s="14"/>
      <c r="LA205" s="65"/>
      <c r="LB205" s="13"/>
      <c r="LC205" s="14"/>
      <c r="LE205" s="65"/>
      <c r="LF205" s="13"/>
      <c r="LG205" s="14"/>
      <c r="LI205" s="65"/>
      <c r="LJ205" s="13"/>
      <c r="LK205" s="14"/>
      <c r="LM205" s="65"/>
      <c r="LN205" s="13"/>
      <c r="LO205" s="14"/>
      <c r="LQ205" s="65"/>
      <c r="LR205" s="13"/>
      <c r="LS205" s="14"/>
      <c r="LU205" s="65"/>
      <c r="LV205" s="13"/>
      <c r="LW205" s="14"/>
      <c r="LY205" s="65"/>
      <c r="LZ205" s="13"/>
      <c r="MA205" s="14"/>
      <c r="MC205" s="65"/>
      <c r="MD205" s="13"/>
      <c r="ME205" s="14"/>
      <c r="MG205" s="65"/>
      <c r="MH205" s="13"/>
      <c r="MI205" s="14"/>
      <c r="MK205" s="65"/>
      <c r="ML205" s="13"/>
      <c r="MM205" s="14"/>
      <c r="MO205" s="65"/>
      <c r="MP205" s="13"/>
      <c r="MQ205" s="14"/>
      <c r="MS205" s="65"/>
      <c r="MT205" s="13"/>
      <c r="MU205" s="14"/>
    </row>
    <row r="206" spans="1:359" hidden="1" x14ac:dyDescent="0.25">
      <c r="A206" s="15">
        <f t="shared" si="193"/>
        <v>0</v>
      </c>
      <c r="B206" s="20">
        <v>42900</v>
      </c>
      <c r="C206"/>
      <c r="D206" s="12"/>
      <c r="E206" s="12"/>
      <c r="I206" s="12"/>
      <c r="J206" s="12"/>
      <c r="N206" s="12"/>
      <c r="O206" s="12"/>
      <c r="T206" s="15"/>
      <c r="U206" s="20"/>
      <c r="V206" s="36"/>
      <c r="W206" s="12"/>
      <c r="X206" s="12"/>
      <c r="AB206" s="12"/>
      <c r="AC206" s="12"/>
      <c r="AG206" s="12"/>
      <c r="AH206" s="12"/>
      <c r="AK206" s="12"/>
      <c r="AL206" s="13"/>
      <c r="AM206" s="14"/>
      <c r="CK206" s="65"/>
      <c r="CL206" s="13"/>
      <c r="CO206" s="65"/>
      <c r="CP206" s="13"/>
      <c r="CS206" s="65"/>
      <c r="CT206" s="13"/>
      <c r="CW206" s="65"/>
      <c r="CX206" s="13"/>
      <c r="DA206" s="65"/>
      <c r="DB206" s="13"/>
      <c r="DE206" s="65"/>
      <c r="DF206" s="13"/>
      <c r="DI206" s="65"/>
      <c r="DJ206" s="13"/>
      <c r="DM206" s="65"/>
      <c r="DN206" s="13"/>
      <c r="DQ206" s="65"/>
      <c r="DR206" s="13"/>
      <c r="DU206" s="65"/>
      <c r="DV206" s="13"/>
      <c r="DY206" s="65"/>
      <c r="DZ206" s="13"/>
      <c r="EA206" s="14"/>
      <c r="EC206" s="65"/>
      <c r="ED206" s="13"/>
      <c r="EE206" s="14"/>
      <c r="EG206" s="65"/>
      <c r="EH206" s="13"/>
      <c r="EI206" s="14"/>
      <c r="EK206" s="65"/>
      <c r="EL206" s="13"/>
      <c r="EM206" s="14"/>
      <c r="EO206" s="65"/>
      <c r="EP206" s="13"/>
      <c r="EQ206" s="14"/>
      <c r="ES206" s="65"/>
      <c r="ET206" s="13"/>
      <c r="EU206" s="14"/>
      <c r="EW206" s="65"/>
      <c r="EX206" s="13"/>
      <c r="EY206" s="14"/>
      <c r="FA206" s="65"/>
      <c r="FB206" s="13"/>
      <c r="FC206" s="14"/>
      <c r="FE206" s="65"/>
      <c r="FF206" s="13"/>
      <c r="FG206" s="14"/>
      <c r="FI206" s="65"/>
      <c r="FJ206" s="13"/>
      <c r="FK206" s="14"/>
      <c r="FM206" s="65"/>
      <c r="FN206" s="13"/>
      <c r="FO206" s="14"/>
      <c r="FQ206" s="65"/>
      <c r="FR206" s="13"/>
      <c r="FS206" s="14"/>
      <c r="FU206" s="65"/>
      <c r="FV206" s="13"/>
      <c r="FW206" s="14"/>
      <c r="FY206" s="65"/>
      <c r="FZ206" s="13"/>
      <c r="GA206" s="14"/>
      <c r="GC206" s="65"/>
      <c r="GD206" s="13"/>
      <c r="GE206" s="14"/>
      <c r="GG206" s="65"/>
      <c r="GH206" s="13"/>
      <c r="GI206" s="14"/>
      <c r="GK206" s="65"/>
      <c r="GL206" s="13"/>
      <c r="GM206" s="14"/>
      <c r="GO206" s="65"/>
      <c r="GP206" s="13"/>
      <c r="GQ206" s="14"/>
      <c r="GS206" s="65"/>
      <c r="GT206" s="13"/>
      <c r="GU206" s="14"/>
      <c r="GW206" s="65"/>
      <c r="GX206" s="13"/>
      <c r="GY206" s="14"/>
      <c r="HA206" s="65"/>
      <c r="HB206" s="13"/>
      <c r="HC206" s="14"/>
      <c r="HE206" s="65"/>
      <c r="HF206" s="13"/>
      <c r="HG206" s="14"/>
      <c r="HI206" s="65"/>
      <c r="HJ206" s="13"/>
      <c r="HK206" s="14"/>
      <c r="HM206" s="65"/>
      <c r="HN206" s="13"/>
      <c r="HO206" s="14"/>
      <c r="HQ206" s="65"/>
      <c r="HR206" s="13"/>
      <c r="HS206" s="14"/>
      <c r="HU206" s="65"/>
      <c r="HV206" s="13"/>
      <c r="HW206" s="14"/>
      <c r="HY206" s="65"/>
      <c r="HZ206" s="13"/>
      <c r="IA206" s="14"/>
      <c r="IC206" s="65"/>
      <c r="ID206" s="13"/>
      <c r="IE206" s="14"/>
      <c r="IG206" s="65"/>
      <c r="IH206" s="13"/>
      <c r="II206" s="14"/>
      <c r="IK206" s="65"/>
      <c r="IL206" s="13"/>
      <c r="IM206" s="14"/>
      <c r="IO206" s="65"/>
      <c r="IP206" s="13"/>
      <c r="IQ206" s="14"/>
      <c r="IS206" s="65"/>
      <c r="IT206" s="13"/>
      <c r="IU206" s="14"/>
      <c r="IW206" s="65"/>
      <c r="IX206" s="13"/>
      <c r="IY206" s="14"/>
      <c r="JA206" s="65"/>
      <c r="JB206" s="13"/>
      <c r="JC206" s="14"/>
      <c r="JE206" s="65"/>
      <c r="JF206" s="13"/>
      <c r="JG206" s="14"/>
      <c r="JI206" s="65"/>
      <c r="JJ206" s="13"/>
      <c r="JK206" s="14"/>
      <c r="JM206" s="65"/>
      <c r="JN206" s="13"/>
      <c r="JO206" s="14"/>
      <c r="JQ206" s="65"/>
      <c r="JR206" s="13"/>
      <c r="JS206" s="14"/>
      <c r="JU206" s="65"/>
      <c r="JV206" s="13"/>
      <c r="JW206" s="14"/>
      <c r="JY206" s="65"/>
      <c r="JZ206" s="13"/>
      <c r="KA206" s="14"/>
      <c r="KC206" s="65"/>
      <c r="KD206" s="13"/>
      <c r="KE206" s="14"/>
      <c r="KG206" s="65"/>
      <c r="KH206" s="13"/>
      <c r="KI206" s="14"/>
      <c r="KK206" s="65"/>
      <c r="KL206" s="13"/>
      <c r="KM206" s="14"/>
      <c r="KO206" s="65"/>
      <c r="KP206" s="13"/>
      <c r="KQ206" s="14"/>
      <c r="KS206" s="65"/>
      <c r="KT206" s="13"/>
      <c r="KU206" s="14"/>
      <c r="KW206" s="65"/>
      <c r="KX206" s="13"/>
      <c r="KY206" s="14"/>
      <c r="LA206" s="65"/>
      <c r="LB206" s="13"/>
      <c r="LC206" s="14"/>
      <c r="LE206" s="65"/>
      <c r="LF206" s="13"/>
      <c r="LG206" s="14"/>
      <c r="LI206" s="65"/>
      <c r="LJ206" s="13"/>
      <c r="LK206" s="14"/>
      <c r="LM206" s="65"/>
      <c r="LN206" s="13"/>
      <c r="LO206" s="14"/>
      <c r="LQ206" s="65"/>
      <c r="LR206" s="13"/>
      <c r="LS206" s="14"/>
      <c r="LU206" s="65"/>
      <c r="LV206" s="13"/>
      <c r="LW206" s="14"/>
      <c r="LY206" s="65"/>
      <c r="LZ206" s="13"/>
      <c r="MA206" s="14"/>
      <c r="MC206" s="65"/>
      <c r="MD206" s="13"/>
      <c r="ME206" s="14"/>
      <c r="MG206" s="65"/>
      <c r="MH206" s="13"/>
      <c r="MI206" s="14"/>
      <c r="MK206" s="65"/>
      <c r="ML206" s="13"/>
      <c r="MM206" s="14"/>
      <c r="MO206" s="65"/>
      <c r="MP206" s="13"/>
      <c r="MQ206" s="14"/>
      <c r="MS206" s="65"/>
      <c r="MT206" s="13"/>
      <c r="MU206" s="14"/>
    </row>
    <row r="207" spans="1:359" hidden="1" x14ac:dyDescent="0.25">
      <c r="A207" s="15">
        <f t="shared" si="193"/>
        <v>0</v>
      </c>
      <c r="B207" s="20">
        <v>42901</v>
      </c>
      <c r="C207"/>
      <c r="D207" s="12"/>
      <c r="E207" s="12"/>
      <c r="I207" s="12"/>
      <c r="J207" s="12"/>
      <c r="N207" s="12"/>
      <c r="O207" s="12"/>
      <c r="T207" s="15"/>
      <c r="U207" s="20"/>
      <c r="V207" s="36"/>
      <c r="W207" s="12"/>
      <c r="X207" s="12"/>
      <c r="AB207" s="12"/>
      <c r="AC207" s="12"/>
      <c r="AG207" s="12"/>
      <c r="AH207" s="12"/>
      <c r="AK207" s="12"/>
      <c r="AL207" s="13"/>
      <c r="AM207" s="14"/>
      <c r="CK207" s="65"/>
      <c r="CL207" s="13"/>
      <c r="CO207" s="65"/>
      <c r="CP207" s="13"/>
      <c r="CS207" s="65"/>
      <c r="CT207" s="13"/>
      <c r="CW207" s="65"/>
      <c r="CX207" s="13"/>
      <c r="DA207" s="65"/>
      <c r="DB207" s="13"/>
      <c r="DE207" s="65"/>
      <c r="DF207" s="13"/>
      <c r="DI207" s="65"/>
      <c r="DJ207" s="13"/>
      <c r="DM207" s="65"/>
      <c r="DN207" s="13"/>
      <c r="DQ207" s="65"/>
      <c r="DR207" s="13"/>
      <c r="DU207" s="65"/>
      <c r="DV207" s="13"/>
      <c r="DY207" s="65"/>
      <c r="DZ207" s="13"/>
      <c r="EA207" s="14"/>
      <c r="EC207" s="65"/>
      <c r="ED207" s="13"/>
      <c r="EE207" s="14"/>
      <c r="EG207" s="65"/>
      <c r="EH207" s="13"/>
      <c r="EI207" s="14"/>
      <c r="EK207" s="65"/>
      <c r="EL207" s="13"/>
      <c r="EM207" s="14"/>
      <c r="EO207" s="65"/>
      <c r="EP207" s="13"/>
      <c r="EQ207" s="14"/>
      <c r="ES207" s="65"/>
      <c r="ET207" s="13"/>
      <c r="EU207" s="14"/>
      <c r="EW207" s="65"/>
      <c r="EX207" s="13"/>
      <c r="EY207" s="14"/>
      <c r="FA207" s="65"/>
      <c r="FB207" s="13"/>
      <c r="FC207" s="14"/>
      <c r="FE207" s="65"/>
      <c r="FF207" s="13"/>
      <c r="FG207" s="14"/>
      <c r="FI207" s="65"/>
      <c r="FJ207" s="13"/>
      <c r="FK207" s="14"/>
      <c r="FM207" s="65"/>
      <c r="FN207" s="13"/>
      <c r="FO207" s="14"/>
      <c r="FQ207" s="65"/>
      <c r="FR207" s="13"/>
      <c r="FS207" s="14"/>
      <c r="FU207" s="65"/>
      <c r="FV207" s="13"/>
      <c r="FW207" s="14"/>
      <c r="FY207" s="65"/>
      <c r="FZ207" s="13"/>
      <c r="GA207" s="14"/>
      <c r="GC207" s="65"/>
      <c r="GD207" s="13"/>
      <c r="GE207" s="14"/>
      <c r="GG207" s="65"/>
      <c r="GH207" s="13"/>
      <c r="GI207" s="14"/>
      <c r="GK207" s="65"/>
      <c r="GL207" s="13"/>
      <c r="GM207" s="14"/>
      <c r="GO207" s="65"/>
      <c r="GP207" s="13"/>
      <c r="GQ207" s="14"/>
      <c r="GS207" s="65"/>
      <c r="GT207" s="13"/>
      <c r="GU207" s="14"/>
      <c r="GW207" s="65"/>
      <c r="GX207" s="13"/>
      <c r="GY207" s="14"/>
      <c r="HA207" s="65"/>
      <c r="HB207" s="13"/>
      <c r="HC207" s="14"/>
      <c r="HE207" s="65"/>
      <c r="HF207" s="13"/>
      <c r="HG207" s="14"/>
      <c r="HI207" s="65"/>
      <c r="HJ207" s="13"/>
      <c r="HK207" s="14"/>
      <c r="HM207" s="65"/>
      <c r="HN207" s="13"/>
      <c r="HO207" s="14"/>
      <c r="HQ207" s="65"/>
      <c r="HR207" s="13"/>
      <c r="HS207" s="14"/>
      <c r="HU207" s="65"/>
      <c r="HV207" s="13"/>
      <c r="HW207" s="14"/>
      <c r="HY207" s="65"/>
      <c r="HZ207" s="13"/>
      <c r="IA207" s="14"/>
      <c r="IC207" s="65"/>
      <c r="ID207" s="13"/>
      <c r="IE207" s="14"/>
      <c r="IG207" s="65"/>
      <c r="IH207" s="13"/>
      <c r="II207" s="14"/>
      <c r="IK207" s="65"/>
      <c r="IL207" s="13"/>
      <c r="IM207" s="14"/>
      <c r="IO207" s="65"/>
      <c r="IP207" s="13"/>
      <c r="IQ207" s="14"/>
      <c r="IS207" s="65"/>
      <c r="IT207" s="13"/>
      <c r="IU207" s="14"/>
      <c r="IW207" s="65"/>
      <c r="IX207" s="13"/>
      <c r="IY207" s="14"/>
      <c r="JA207" s="65"/>
      <c r="JB207" s="13"/>
      <c r="JC207" s="14"/>
      <c r="JE207" s="65"/>
      <c r="JF207" s="13"/>
      <c r="JG207" s="14"/>
      <c r="JI207" s="65"/>
      <c r="JJ207" s="13"/>
      <c r="JK207" s="14"/>
      <c r="JM207" s="65"/>
      <c r="JN207" s="13"/>
      <c r="JO207" s="14"/>
      <c r="JQ207" s="65"/>
      <c r="JR207" s="13"/>
      <c r="JS207" s="14"/>
      <c r="JU207" s="65"/>
      <c r="JV207" s="13"/>
      <c r="JW207" s="14"/>
      <c r="JY207" s="65"/>
      <c r="JZ207" s="13"/>
      <c r="KA207" s="14"/>
      <c r="KC207" s="65"/>
      <c r="KD207" s="13"/>
      <c r="KE207" s="14"/>
      <c r="KG207" s="65"/>
      <c r="KH207" s="13"/>
      <c r="KI207" s="14"/>
      <c r="KK207" s="65"/>
      <c r="KL207" s="13"/>
      <c r="KM207" s="14"/>
      <c r="KO207" s="65"/>
      <c r="KP207" s="13"/>
      <c r="KQ207" s="14"/>
      <c r="KS207" s="65"/>
      <c r="KT207" s="13"/>
      <c r="KU207" s="14"/>
      <c r="KW207" s="65"/>
      <c r="KX207" s="13"/>
      <c r="KY207" s="14"/>
      <c r="LA207" s="65"/>
      <c r="LB207" s="13"/>
      <c r="LC207" s="14"/>
      <c r="LE207" s="65"/>
      <c r="LF207" s="13"/>
      <c r="LG207" s="14"/>
      <c r="LI207" s="65"/>
      <c r="LJ207" s="13"/>
      <c r="LK207" s="14"/>
      <c r="LM207" s="65"/>
      <c r="LN207" s="13"/>
      <c r="LO207" s="14"/>
      <c r="LQ207" s="65"/>
      <c r="LR207" s="13"/>
      <c r="LS207" s="14"/>
      <c r="LU207" s="65"/>
      <c r="LV207" s="13"/>
      <c r="LW207" s="14"/>
      <c r="LY207" s="65"/>
      <c r="LZ207" s="13"/>
      <c r="MA207" s="14"/>
      <c r="MC207" s="65"/>
      <c r="MD207" s="13"/>
      <c r="ME207" s="14"/>
      <c r="MG207" s="65"/>
      <c r="MH207" s="13"/>
      <c r="MI207" s="14"/>
      <c r="MK207" s="65"/>
      <c r="ML207" s="13"/>
      <c r="MM207" s="14"/>
      <c r="MO207" s="65"/>
      <c r="MP207" s="13"/>
      <c r="MQ207" s="14"/>
      <c r="MS207" s="65"/>
      <c r="MT207" s="13"/>
      <c r="MU207" s="14"/>
    </row>
    <row r="208" spans="1:359" hidden="1" x14ac:dyDescent="0.25">
      <c r="A208" s="15">
        <f t="shared" si="193"/>
        <v>0</v>
      </c>
      <c r="B208" s="20">
        <v>42902</v>
      </c>
      <c r="C208"/>
      <c r="D208" s="12"/>
      <c r="E208" s="12"/>
      <c r="I208" s="12"/>
      <c r="J208" s="12"/>
      <c r="N208" s="12"/>
      <c r="O208" s="12"/>
      <c r="T208" s="15"/>
      <c r="U208" s="20"/>
      <c r="V208" s="36"/>
      <c r="W208" s="12"/>
      <c r="X208" s="12"/>
      <c r="AB208" s="12"/>
      <c r="AC208" s="12"/>
      <c r="AG208" s="12"/>
      <c r="AH208" s="12"/>
      <c r="AK208" s="12"/>
      <c r="AL208" s="13"/>
      <c r="AM208" s="14"/>
      <c r="CK208" s="65"/>
      <c r="CL208" s="13"/>
      <c r="CO208" s="65"/>
      <c r="CP208" s="13"/>
      <c r="CS208" s="65"/>
      <c r="CT208" s="13"/>
      <c r="CW208" s="65"/>
      <c r="CX208" s="13"/>
      <c r="DA208" s="65"/>
      <c r="DB208" s="13"/>
      <c r="DE208" s="65"/>
      <c r="DF208" s="13"/>
      <c r="DI208" s="65"/>
      <c r="DJ208" s="13"/>
      <c r="DM208" s="65"/>
      <c r="DN208" s="13"/>
      <c r="DQ208" s="65"/>
      <c r="DR208" s="13"/>
      <c r="DU208" s="65"/>
      <c r="DV208" s="13"/>
      <c r="DY208" s="65"/>
      <c r="DZ208" s="13"/>
      <c r="EA208" s="14"/>
      <c r="EC208" s="65"/>
      <c r="ED208" s="13"/>
      <c r="EE208" s="14"/>
      <c r="EG208" s="65"/>
      <c r="EH208" s="13"/>
      <c r="EI208" s="14"/>
      <c r="EK208" s="65"/>
      <c r="EL208" s="13"/>
      <c r="EM208" s="14"/>
      <c r="EO208" s="65"/>
      <c r="EP208" s="13"/>
      <c r="EQ208" s="14"/>
      <c r="ES208" s="65"/>
      <c r="ET208" s="13"/>
      <c r="EU208" s="14"/>
      <c r="EW208" s="65"/>
      <c r="EX208" s="13"/>
      <c r="EY208" s="14"/>
      <c r="FA208" s="65"/>
      <c r="FB208" s="13"/>
      <c r="FC208" s="14"/>
      <c r="FE208" s="65"/>
      <c r="FF208" s="13"/>
      <c r="FG208" s="14"/>
      <c r="FI208" s="65"/>
      <c r="FJ208" s="13"/>
      <c r="FK208" s="14"/>
      <c r="FM208" s="65"/>
      <c r="FN208" s="13"/>
      <c r="FO208" s="14"/>
      <c r="FQ208" s="65"/>
      <c r="FR208" s="13"/>
      <c r="FS208" s="14"/>
      <c r="FU208" s="65"/>
      <c r="FV208" s="13"/>
      <c r="FW208" s="14"/>
      <c r="FY208" s="65"/>
      <c r="FZ208" s="13"/>
      <c r="GA208" s="14"/>
      <c r="GC208" s="65"/>
      <c r="GD208" s="13"/>
      <c r="GE208" s="14"/>
      <c r="GG208" s="65"/>
      <c r="GH208" s="13"/>
      <c r="GI208" s="14"/>
      <c r="GK208" s="65"/>
      <c r="GL208" s="13"/>
      <c r="GM208" s="14"/>
      <c r="GO208" s="65"/>
      <c r="GP208" s="13"/>
      <c r="GQ208" s="14"/>
      <c r="GS208" s="65"/>
      <c r="GT208" s="13"/>
      <c r="GU208" s="14"/>
      <c r="GW208" s="65"/>
      <c r="GX208" s="13"/>
      <c r="GY208" s="14"/>
      <c r="HA208" s="65"/>
      <c r="HB208" s="13"/>
      <c r="HC208" s="14"/>
      <c r="HE208" s="65"/>
      <c r="HF208" s="13"/>
      <c r="HG208" s="14"/>
      <c r="HI208" s="65"/>
      <c r="HJ208" s="13"/>
      <c r="HK208" s="14"/>
      <c r="HM208" s="65"/>
      <c r="HN208" s="13"/>
      <c r="HO208" s="14"/>
      <c r="HQ208" s="65"/>
      <c r="HR208" s="13"/>
      <c r="HS208" s="14"/>
      <c r="HU208" s="65"/>
      <c r="HV208" s="13"/>
      <c r="HW208" s="14"/>
      <c r="HY208" s="65"/>
      <c r="HZ208" s="13"/>
      <c r="IA208" s="14"/>
      <c r="IC208" s="65"/>
      <c r="ID208" s="13"/>
      <c r="IE208" s="14"/>
      <c r="IG208" s="65"/>
      <c r="IH208" s="13"/>
      <c r="II208" s="14"/>
      <c r="IK208" s="65"/>
      <c r="IL208" s="13"/>
      <c r="IM208" s="14"/>
      <c r="IO208" s="65"/>
      <c r="IP208" s="13"/>
      <c r="IQ208" s="14"/>
      <c r="IS208" s="65"/>
      <c r="IT208" s="13"/>
      <c r="IU208" s="14"/>
      <c r="IW208" s="65"/>
      <c r="IX208" s="13"/>
      <c r="IY208" s="14"/>
      <c r="JA208" s="65"/>
      <c r="JB208" s="13"/>
      <c r="JC208" s="14"/>
      <c r="JE208" s="65"/>
      <c r="JF208" s="13"/>
      <c r="JG208" s="14"/>
      <c r="JI208" s="65"/>
      <c r="JJ208" s="13"/>
      <c r="JK208" s="14"/>
      <c r="JM208" s="65"/>
      <c r="JN208" s="13"/>
      <c r="JO208" s="14"/>
      <c r="JQ208" s="65"/>
      <c r="JR208" s="13"/>
      <c r="JS208" s="14"/>
      <c r="JU208" s="65"/>
      <c r="JV208" s="13"/>
      <c r="JW208" s="14"/>
      <c r="JY208" s="65"/>
      <c r="JZ208" s="13"/>
      <c r="KA208" s="14"/>
      <c r="KC208" s="65"/>
      <c r="KD208" s="13"/>
      <c r="KE208" s="14"/>
      <c r="KG208" s="65"/>
      <c r="KH208" s="13"/>
      <c r="KI208" s="14"/>
      <c r="KK208" s="65"/>
      <c r="KL208" s="13"/>
      <c r="KM208" s="14"/>
      <c r="KO208" s="65"/>
      <c r="KP208" s="13"/>
      <c r="KQ208" s="14"/>
      <c r="KS208" s="65"/>
      <c r="KT208" s="13"/>
      <c r="KU208" s="14"/>
      <c r="KW208" s="65"/>
      <c r="KX208" s="13"/>
      <c r="KY208" s="14"/>
      <c r="LA208" s="65"/>
      <c r="LB208" s="13"/>
      <c r="LC208" s="14"/>
      <c r="LE208" s="65"/>
      <c r="LF208" s="13"/>
      <c r="LG208" s="14"/>
      <c r="LI208" s="65"/>
      <c r="LJ208" s="13"/>
      <c r="LK208" s="14"/>
      <c r="LM208" s="65"/>
      <c r="LN208" s="13"/>
      <c r="LO208" s="14"/>
      <c r="LQ208" s="65"/>
      <c r="LR208" s="13"/>
      <c r="LS208" s="14"/>
      <c r="LU208" s="65"/>
      <c r="LV208" s="13"/>
      <c r="LW208" s="14"/>
      <c r="LY208" s="65"/>
      <c r="LZ208" s="13"/>
      <c r="MA208" s="14"/>
      <c r="MC208" s="65"/>
      <c r="MD208" s="13"/>
      <c r="ME208" s="14"/>
      <c r="MG208" s="65"/>
      <c r="MH208" s="13"/>
      <c r="MI208" s="14"/>
      <c r="MK208" s="65"/>
      <c r="ML208" s="13"/>
      <c r="MM208" s="14"/>
      <c r="MO208" s="65"/>
      <c r="MP208" s="13"/>
      <c r="MQ208" s="14"/>
      <c r="MS208" s="65"/>
      <c r="MT208" s="13"/>
      <c r="MU208" s="14"/>
    </row>
    <row r="209" spans="1:359" hidden="1" x14ac:dyDescent="0.25">
      <c r="A209" s="15">
        <f t="shared" si="193"/>
        <v>0</v>
      </c>
      <c r="B209" s="20">
        <v>42903</v>
      </c>
      <c r="C209"/>
      <c r="D209" s="12"/>
      <c r="E209" s="12"/>
      <c r="I209" s="12"/>
      <c r="J209" s="12"/>
      <c r="N209" s="12"/>
      <c r="O209" s="12"/>
      <c r="T209" s="15"/>
      <c r="U209" s="20"/>
      <c r="V209" s="36"/>
      <c r="W209" s="12"/>
      <c r="X209" s="12"/>
      <c r="AB209" s="12"/>
      <c r="AC209" s="12"/>
      <c r="AG209" s="12"/>
      <c r="AH209" s="12"/>
      <c r="AK209" s="12"/>
      <c r="AL209" s="13"/>
      <c r="AM209" s="14"/>
      <c r="CK209" s="65"/>
      <c r="CL209" s="13"/>
      <c r="CO209" s="65"/>
      <c r="CP209" s="13"/>
      <c r="CS209" s="65"/>
      <c r="CT209" s="13"/>
      <c r="CW209" s="65"/>
      <c r="CX209" s="13"/>
      <c r="DA209" s="65"/>
      <c r="DB209" s="13"/>
      <c r="DE209" s="65"/>
      <c r="DF209" s="13"/>
      <c r="DI209" s="65"/>
      <c r="DJ209" s="13"/>
      <c r="DM209" s="65"/>
      <c r="DN209" s="13"/>
      <c r="DQ209" s="65"/>
      <c r="DR209" s="13"/>
      <c r="DU209" s="65"/>
      <c r="DV209" s="13"/>
      <c r="DY209" s="65"/>
      <c r="DZ209" s="13"/>
      <c r="EA209" s="14"/>
      <c r="EC209" s="65"/>
      <c r="ED209" s="13"/>
      <c r="EE209" s="14"/>
      <c r="EG209" s="65"/>
      <c r="EH209" s="13"/>
      <c r="EI209" s="14"/>
      <c r="EK209" s="65"/>
      <c r="EL209" s="13"/>
      <c r="EM209" s="14"/>
      <c r="EO209" s="65"/>
      <c r="EP209" s="13"/>
      <c r="EQ209" s="14"/>
      <c r="ES209" s="65"/>
      <c r="ET209" s="13"/>
      <c r="EU209" s="14"/>
      <c r="EW209" s="65"/>
      <c r="EX209" s="13"/>
      <c r="EY209" s="14"/>
      <c r="FA209" s="65"/>
      <c r="FB209" s="13"/>
      <c r="FC209" s="14"/>
      <c r="FE209" s="65"/>
      <c r="FF209" s="13"/>
      <c r="FG209" s="14"/>
      <c r="FI209" s="65"/>
      <c r="FJ209" s="13"/>
      <c r="FK209" s="14"/>
      <c r="FM209" s="65"/>
      <c r="FN209" s="13"/>
      <c r="FO209" s="14"/>
      <c r="FQ209" s="65"/>
      <c r="FR209" s="13"/>
      <c r="FS209" s="14"/>
      <c r="FU209" s="65"/>
      <c r="FV209" s="13"/>
      <c r="FW209" s="14"/>
      <c r="FY209" s="65"/>
      <c r="FZ209" s="13"/>
      <c r="GA209" s="14"/>
      <c r="GC209" s="65"/>
      <c r="GD209" s="13"/>
      <c r="GE209" s="14"/>
      <c r="GG209" s="65"/>
      <c r="GH209" s="13"/>
      <c r="GI209" s="14"/>
      <c r="GK209" s="65"/>
      <c r="GL209" s="13"/>
      <c r="GM209" s="14"/>
      <c r="GO209" s="65"/>
      <c r="GP209" s="13"/>
      <c r="GQ209" s="14"/>
      <c r="GS209" s="65"/>
      <c r="GT209" s="13"/>
      <c r="GU209" s="14"/>
      <c r="GW209" s="65"/>
      <c r="GX209" s="13"/>
      <c r="GY209" s="14"/>
      <c r="HA209" s="65"/>
      <c r="HB209" s="13"/>
      <c r="HC209" s="14"/>
      <c r="HE209" s="65"/>
      <c r="HF209" s="13"/>
      <c r="HG209" s="14"/>
      <c r="HI209" s="65"/>
      <c r="HJ209" s="13"/>
      <c r="HK209" s="14"/>
      <c r="HM209" s="65"/>
      <c r="HN209" s="13"/>
      <c r="HO209" s="14"/>
      <c r="HQ209" s="65"/>
      <c r="HR209" s="13"/>
      <c r="HS209" s="14"/>
      <c r="HU209" s="65"/>
      <c r="HV209" s="13"/>
      <c r="HW209" s="14"/>
      <c r="HY209" s="65"/>
      <c r="HZ209" s="13"/>
      <c r="IA209" s="14"/>
      <c r="IC209" s="65"/>
      <c r="ID209" s="13"/>
      <c r="IE209" s="14"/>
      <c r="IG209" s="65"/>
      <c r="IH209" s="13"/>
      <c r="II209" s="14"/>
      <c r="IK209" s="65"/>
      <c r="IL209" s="13"/>
      <c r="IM209" s="14"/>
      <c r="IO209" s="65"/>
      <c r="IP209" s="13"/>
      <c r="IQ209" s="14"/>
      <c r="IS209" s="65"/>
      <c r="IT209" s="13"/>
      <c r="IU209" s="14"/>
      <c r="IW209" s="65"/>
      <c r="IX209" s="13"/>
      <c r="IY209" s="14"/>
      <c r="JA209" s="65"/>
      <c r="JB209" s="13"/>
      <c r="JC209" s="14"/>
      <c r="JE209" s="65"/>
      <c r="JF209" s="13"/>
      <c r="JG209" s="14"/>
      <c r="JI209" s="65"/>
      <c r="JJ209" s="13"/>
      <c r="JK209" s="14"/>
      <c r="JM209" s="65"/>
      <c r="JN209" s="13"/>
      <c r="JO209" s="14"/>
      <c r="JQ209" s="65"/>
      <c r="JR209" s="13"/>
      <c r="JS209" s="14"/>
      <c r="JU209" s="65"/>
      <c r="JV209" s="13"/>
      <c r="JW209" s="14"/>
      <c r="JY209" s="65"/>
      <c r="JZ209" s="13"/>
      <c r="KA209" s="14"/>
      <c r="KC209" s="65"/>
      <c r="KD209" s="13"/>
      <c r="KE209" s="14"/>
      <c r="KG209" s="65"/>
      <c r="KH209" s="13"/>
      <c r="KI209" s="14"/>
      <c r="KK209" s="65"/>
      <c r="KL209" s="13"/>
      <c r="KM209" s="14"/>
      <c r="KO209" s="65"/>
      <c r="KP209" s="13"/>
      <c r="KQ209" s="14"/>
      <c r="KS209" s="65"/>
      <c r="KT209" s="13"/>
      <c r="KU209" s="14"/>
      <c r="KW209" s="65"/>
      <c r="KX209" s="13"/>
      <c r="KY209" s="14"/>
      <c r="LA209" s="65"/>
      <c r="LB209" s="13"/>
      <c r="LC209" s="14"/>
      <c r="LE209" s="65"/>
      <c r="LF209" s="13"/>
      <c r="LG209" s="14"/>
      <c r="LI209" s="65"/>
      <c r="LJ209" s="13"/>
      <c r="LK209" s="14"/>
      <c r="LM209" s="65"/>
      <c r="LN209" s="13"/>
      <c r="LO209" s="14"/>
      <c r="LQ209" s="65"/>
      <c r="LR209" s="13"/>
      <c r="LS209" s="14"/>
      <c r="LU209" s="65"/>
      <c r="LV209" s="13"/>
      <c r="LW209" s="14"/>
      <c r="LY209" s="65"/>
      <c r="LZ209" s="13"/>
      <c r="MA209" s="14"/>
      <c r="MC209" s="65"/>
      <c r="MD209" s="13"/>
      <c r="ME209" s="14"/>
      <c r="MG209" s="65"/>
      <c r="MH209" s="13"/>
      <c r="MI209" s="14"/>
      <c r="MK209" s="65"/>
      <c r="ML209" s="13"/>
      <c r="MM209" s="14"/>
      <c r="MO209" s="65"/>
      <c r="MP209" s="13"/>
      <c r="MQ209" s="14"/>
      <c r="MS209" s="65"/>
      <c r="MT209" s="13"/>
      <c r="MU209" s="14"/>
    </row>
    <row r="210" spans="1:359" hidden="1" x14ac:dyDescent="0.25">
      <c r="A210" s="15">
        <f t="shared" si="193"/>
        <v>0</v>
      </c>
      <c r="B210" s="20">
        <v>42904</v>
      </c>
      <c r="C210"/>
      <c r="D210" s="12"/>
      <c r="E210" s="12"/>
      <c r="I210" s="12"/>
      <c r="J210" s="12"/>
      <c r="N210" s="12"/>
      <c r="O210" s="12"/>
      <c r="T210" s="15"/>
      <c r="U210" s="20"/>
      <c r="V210" s="36"/>
      <c r="W210" s="12"/>
      <c r="X210" s="12"/>
      <c r="AB210" s="12"/>
      <c r="AC210" s="12"/>
      <c r="AG210" s="12"/>
      <c r="AH210" s="12"/>
      <c r="AK210" s="12"/>
      <c r="AL210" s="13"/>
      <c r="AM210" s="14"/>
      <c r="CK210" s="65"/>
      <c r="CL210" s="13"/>
      <c r="CO210" s="65"/>
      <c r="CP210" s="13"/>
      <c r="CS210" s="65"/>
      <c r="CT210" s="13"/>
      <c r="CW210" s="65"/>
      <c r="CX210" s="13"/>
      <c r="DA210" s="65"/>
      <c r="DB210" s="13"/>
      <c r="DE210" s="65"/>
      <c r="DF210" s="13"/>
      <c r="DI210" s="65"/>
      <c r="DJ210" s="13"/>
      <c r="DM210" s="65"/>
      <c r="DN210" s="13"/>
      <c r="DQ210" s="65"/>
      <c r="DR210" s="13"/>
      <c r="DU210" s="65"/>
      <c r="DV210" s="13"/>
      <c r="DY210" s="65"/>
      <c r="DZ210" s="13"/>
      <c r="EA210" s="14"/>
      <c r="EC210" s="65"/>
      <c r="ED210" s="13"/>
      <c r="EE210" s="14"/>
      <c r="EG210" s="65"/>
      <c r="EH210" s="13"/>
      <c r="EI210" s="14"/>
      <c r="EK210" s="65"/>
      <c r="EL210" s="13"/>
      <c r="EM210" s="14"/>
      <c r="EO210" s="65"/>
      <c r="EP210" s="13"/>
      <c r="EQ210" s="14"/>
      <c r="ES210" s="65"/>
      <c r="ET210" s="13"/>
      <c r="EU210" s="14"/>
      <c r="EW210" s="65"/>
      <c r="EX210" s="13"/>
      <c r="EY210" s="14"/>
      <c r="FA210" s="65"/>
      <c r="FB210" s="13"/>
      <c r="FC210" s="14"/>
      <c r="FE210" s="65"/>
      <c r="FF210" s="13"/>
      <c r="FG210" s="14"/>
      <c r="FI210" s="65"/>
      <c r="FJ210" s="13"/>
      <c r="FK210" s="14"/>
      <c r="FM210" s="65"/>
      <c r="FN210" s="13"/>
      <c r="FO210" s="14"/>
      <c r="FQ210" s="65"/>
      <c r="FR210" s="13"/>
      <c r="FS210" s="14"/>
      <c r="FU210" s="65"/>
      <c r="FV210" s="13"/>
      <c r="FW210" s="14"/>
      <c r="FY210" s="65"/>
      <c r="FZ210" s="13"/>
      <c r="GA210" s="14"/>
      <c r="GC210" s="65"/>
      <c r="GD210" s="13"/>
      <c r="GE210" s="14"/>
      <c r="GG210" s="65"/>
      <c r="GH210" s="13"/>
      <c r="GI210" s="14"/>
      <c r="GK210" s="65"/>
      <c r="GL210" s="13"/>
      <c r="GM210" s="14"/>
      <c r="GO210" s="65"/>
      <c r="GP210" s="13"/>
      <c r="GQ210" s="14"/>
      <c r="GS210" s="65"/>
      <c r="GT210" s="13"/>
      <c r="GU210" s="14"/>
      <c r="GW210" s="65"/>
      <c r="GX210" s="13"/>
      <c r="GY210" s="14"/>
      <c r="HA210" s="65"/>
      <c r="HB210" s="13"/>
      <c r="HC210" s="14"/>
      <c r="HE210" s="65"/>
      <c r="HF210" s="13"/>
      <c r="HG210" s="14"/>
      <c r="HI210" s="65"/>
      <c r="HJ210" s="13"/>
      <c r="HK210" s="14"/>
      <c r="HM210" s="65"/>
      <c r="HN210" s="13"/>
      <c r="HO210" s="14"/>
      <c r="HQ210" s="65"/>
      <c r="HR210" s="13"/>
      <c r="HS210" s="14"/>
      <c r="HU210" s="65"/>
      <c r="HV210" s="13"/>
      <c r="HW210" s="14"/>
      <c r="HY210" s="65"/>
      <c r="HZ210" s="13"/>
      <c r="IA210" s="14"/>
      <c r="IC210" s="65"/>
      <c r="ID210" s="13"/>
      <c r="IE210" s="14"/>
      <c r="IG210" s="65"/>
      <c r="IH210" s="13"/>
      <c r="II210" s="14"/>
      <c r="IK210" s="65"/>
      <c r="IL210" s="13"/>
      <c r="IM210" s="14"/>
      <c r="IO210" s="65"/>
      <c r="IP210" s="13"/>
      <c r="IQ210" s="14"/>
      <c r="IS210" s="65"/>
      <c r="IT210" s="13"/>
      <c r="IU210" s="14"/>
      <c r="IW210" s="65"/>
      <c r="IX210" s="13"/>
      <c r="IY210" s="14"/>
      <c r="JA210" s="65"/>
      <c r="JB210" s="13"/>
      <c r="JC210" s="14"/>
      <c r="JE210" s="65"/>
      <c r="JF210" s="13"/>
      <c r="JG210" s="14"/>
      <c r="JI210" s="65"/>
      <c r="JJ210" s="13"/>
      <c r="JK210" s="14"/>
      <c r="JM210" s="65"/>
      <c r="JN210" s="13"/>
      <c r="JO210" s="14"/>
      <c r="JQ210" s="65"/>
      <c r="JR210" s="13"/>
      <c r="JS210" s="14"/>
      <c r="JU210" s="65"/>
      <c r="JV210" s="13"/>
      <c r="JW210" s="14"/>
      <c r="JY210" s="65"/>
      <c r="JZ210" s="13"/>
      <c r="KA210" s="14"/>
      <c r="KC210" s="65"/>
      <c r="KD210" s="13"/>
      <c r="KE210" s="14"/>
      <c r="KG210" s="65"/>
      <c r="KH210" s="13"/>
      <c r="KI210" s="14"/>
      <c r="KK210" s="65"/>
      <c r="KL210" s="13"/>
      <c r="KM210" s="14"/>
      <c r="KO210" s="65"/>
      <c r="KP210" s="13"/>
      <c r="KQ210" s="14"/>
      <c r="KS210" s="65"/>
      <c r="KT210" s="13"/>
      <c r="KU210" s="14"/>
      <c r="KW210" s="65"/>
      <c r="KX210" s="13"/>
      <c r="KY210" s="14"/>
      <c r="LA210" s="65"/>
      <c r="LB210" s="13"/>
      <c r="LC210" s="14"/>
      <c r="LE210" s="65"/>
      <c r="LF210" s="13"/>
      <c r="LG210" s="14"/>
      <c r="LI210" s="65"/>
      <c r="LJ210" s="13"/>
      <c r="LK210" s="14"/>
      <c r="LM210" s="65"/>
      <c r="LN210" s="13"/>
      <c r="LO210" s="14"/>
      <c r="LQ210" s="65"/>
      <c r="LR210" s="13"/>
      <c r="LS210" s="14"/>
      <c r="LU210" s="65"/>
      <c r="LV210" s="13"/>
      <c r="LW210" s="14"/>
      <c r="LY210" s="65"/>
      <c r="LZ210" s="13"/>
      <c r="MA210" s="14"/>
      <c r="MC210" s="65"/>
      <c r="MD210" s="13"/>
      <c r="ME210" s="14"/>
      <c r="MG210" s="65"/>
      <c r="MH210" s="13"/>
      <c r="MI210" s="14"/>
      <c r="MK210" s="65"/>
      <c r="ML210" s="13"/>
      <c r="MM210" s="14"/>
      <c r="MO210" s="65"/>
      <c r="MP210" s="13"/>
      <c r="MQ210" s="14"/>
      <c r="MS210" s="65"/>
      <c r="MT210" s="13"/>
      <c r="MU210" s="14"/>
    </row>
    <row r="211" spans="1:359" hidden="1" x14ac:dyDescent="0.25">
      <c r="A211" s="15">
        <f t="shared" si="193"/>
        <v>0</v>
      </c>
      <c r="B211" s="20">
        <v>42905</v>
      </c>
      <c r="C211"/>
      <c r="D211" s="12"/>
      <c r="E211" s="12"/>
      <c r="I211" s="12"/>
      <c r="J211" s="12"/>
      <c r="N211" s="12"/>
      <c r="O211" s="12"/>
      <c r="T211" s="15"/>
      <c r="U211" s="20"/>
      <c r="V211" s="36"/>
      <c r="W211" s="12"/>
      <c r="X211" s="12"/>
      <c r="AB211" s="12"/>
      <c r="AC211" s="12"/>
      <c r="AG211" s="12"/>
      <c r="AH211" s="12"/>
      <c r="AK211" s="12"/>
      <c r="AL211" s="13"/>
      <c r="AM211" s="14"/>
      <c r="CK211" s="65"/>
      <c r="CL211" s="13"/>
      <c r="CO211" s="65"/>
      <c r="CP211" s="13"/>
      <c r="CS211" s="65"/>
      <c r="CT211" s="13"/>
      <c r="CW211" s="65"/>
      <c r="CX211" s="13"/>
      <c r="DA211" s="65"/>
      <c r="DB211" s="13"/>
      <c r="DE211" s="65"/>
      <c r="DF211" s="13"/>
      <c r="DI211" s="65"/>
      <c r="DJ211" s="13"/>
      <c r="DM211" s="65"/>
      <c r="DN211" s="13"/>
      <c r="DQ211" s="65"/>
      <c r="DR211" s="13"/>
      <c r="DU211" s="65"/>
      <c r="DV211" s="13"/>
      <c r="DY211" s="65"/>
      <c r="DZ211" s="13"/>
      <c r="EA211" s="14"/>
      <c r="EC211" s="65"/>
      <c r="ED211" s="13"/>
      <c r="EE211" s="14"/>
      <c r="EG211" s="65"/>
      <c r="EH211" s="13"/>
      <c r="EI211" s="14"/>
      <c r="EK211" s="65"/>
      <c r="EL211" s="13"/>
      <c r="EM211" s="14"/>
      <c r="EO211" s="65"/>
      <c r="EP211" s="13"/>
      <c r="EQ211" s="14"/>
      <c r="ES211" s="65"/>
      <c r="ET211" s="13"/>
      <c r="EU211" s="14"/>
      <c r="EW211" s="65"/>
      <c r="EX211" s="13"/>
      <c r="EY211" s="14"/>
      <c r="FA211" s="65"/>
      <c r="FB211" s="13"/>
      <c r="FC211" s="14"/>
      <c r="FE211" s="65"/>
      <c r="FF211" s="13"/>
      <c r="FG211" s="14"/>
      <c r="FI211" s="65"/>
      <c r="FJ211" s="13"/>
      <c r="FK211" s="14"/>
      <c r="FM211" s="65"/>
      <c r="FN211" s="13"/>
      <c r="FO211" s="14"/>
      <c r="FQ211" s="65"/>
      <c r="FR211" s="13"/>
      <c r="FS211" s="14"/>
      <c r="FU211" s="65"/>
      <c r="FV211" s="13"/>
      <c r="FW211" s="14"/>
      <c r="FY211" s="65"/>
      <c r="FZ211" s="13"/>
      <c r="GA211" s="14"/>
      <c r="GC211" s="65"/>
      <c r="GD211" s="13"/>
      <c r="GE211" s="14"/>
      <c r="GG211" s="65"/>
      <c r="GH211" s="13"/>
      <c r="GI211" s="14"/>
      <c r="GK211" s="65"/>
      <c r="GL211" s="13"/>
      <c r="GM211" s="14"/>
      <c r="GO211" s="65"/>
      <c r="GP211" s="13"/>
      <c r="GQ211" s="14"/>
      <c r="GS211" s="65"/>
      <c r="GT211" s="13"/>
      <c r="GU211" s="14"/>
      <c r="GW211" s="65"/>
      <c r="GX211" s="13"/>
      <c r="GY211" s="14"/>
      <c r="HA211" s="65"/>
      <c r="HB211" s="13"/>
      <c r="HC211" s="14"/>
      <c r="HE211" s="65"/>
      <c r="HF211" s="13"/>
      <c r="HG211" s="14"/>
      <c r="HI211" s="65"/>
      <c r="HJ211" s="13"/>
      <c r="HK211" s="14"/>
      <c r="HM211" s="65"/>
      <c r="HN211" s="13"/>
      <c r="HO211" s="14"/>
      <c r="HQ211" s="65"/>
      <c r="HR211" s="13"/>
      <c r="HS211" s="14"/>
      <c r="HU211" s="65"/>
      <c r="HV211" s="13"/>
      <c r="HW211" s="14"/>
      <c r="HY211" s="65"/>
      <c r="HZ211" s="13"/>
      <c r="IA211" s="14"/>
      <c r="IC211" s="65"/>
      <c r="ID211" s="13"/>
      <c r="IE211" s="14"/>
      <c r="IG211" s="65"/>
      <c r="IH211" s="13"/>
      <c r="II211" s="14"/>
      <c r="IK211" s="65"/>
      <c r="IL211" s="13"/>
      <c r="IM211" s="14"/>
      <c r="IO211" s="65"/>
      <c r="IP211" s="13"/>
      <c r="IQ211" s="14"/>
      <c r="IS211" s="65"/>
      <c r="IT211" s="13"/>
      <c r="IU211" s="14"/>
      <c r="IW211" s="65"/>
      <c r="IX211" s="13"/>
      <c r="IY211" s="14"/>
      <c r="JA211" s="65"/>
      <c r="JB211" s="13"/>
      <c r="JC211" s="14"/>
      <c r="JE211" s="65"/>
      <c r="JF211" s="13"/>
      <c r="JG211" s="14"/>
      <c r="JI211" s="65"/>
      <c r="JJ211" s="13"/>
      <c r="JK211" s="14"/>
      <c r="JM211" s="65"/>
      <c r="JN211" s="13"/>
      <c r="JO211" s="14"/>
      <c r="JQ211" s="65"/>
      <c r="JR211" s="13"/>
      <c r="JS211" s="14"/>
      <c r="JU211" s="65"/>
      <c r="JV211" s="13"/>
      <c r="JW211" s="14"/>
      <c r="JY211" s="65"/>
      <c r="JZ211" s="13"/>
      <c r="KA211" s="14"/>
      <c r="KC211" s="65"/>
      <c r="KD211" s="13"/>
      <c r="KE211" s="14"/>
      <c r="KG211" s="65"/>
      <c r="KH211" s="13"/>
      <c r="KI211" s="14"/>
      <c r="KK211" s="65"/>
      <c r="KL211" s="13"/>
      <c r="KM211" s="14"/>
      <c r="KO211" s="65"/>
      <c r="KP211" s="13"/>
      <c r="KQ211" s="14"/>
      <c r="KS211" s="65"/>
      <c r="KT211" s="13"/>
      <c r="KU211" s="14"/>
      <c r="KW211" s="65"/>
      <c r="KX211" s="13"/>
      <c r="KY211" s="14"/>
      <c r="LA211" s="65"/>
      <c r="LB211" s="13"/>
      <c r="LC211" s="14"/>
      <c r="LE211" s="65"/>
      <c r="LF211" s="13"/>
      <c r="LG211" s="14"/>
      <c r="LI211" s="65"/>
      <c r="LJ211" s="13"/>
      <c r="LK211" s="14"/>
      <c r="LM211" s="65"/>
      <c r="LN211" s="13"/>
      <c r="LO211" s="14"/>
      <c r="LQ211" s="65"/>
      <c r="LR211" s="13"/>
      <c r="LS211" s="14"/>
      <c r="LU211" s="65"/>
      <c r="LV211" s="13"/>
      <c r="LW211" s="14"/>
      <c r="LY211" s="65"/>
      <c r="LZ211" s="13"/>
      <c r="MA211" s="14"/>
      <c r="MC211" s="65"/>
      <c r="MD211" s="13"/>
      <c r="ME211" s="14"/>
      <c r="MG211" s="65"/>
      <c r="MH211" s="13"/>
      <c r="MI211" s="14"/>
      <c r="MK211" s="65"/>
      <c r="ML211" s="13"/>
      <c r="MM211" s="14"/>
      <c r="MO211" s="65"/>
      <c r="MP211" s="13"/>
      <c r="MQ211" s="14"/>
      <c r="MS211" s="65"/>
      <c r="MT211" s="13"/>
      <c r="MU211" s="14"/>
    </row>
    <row r="212" spans="1:359" hidden="1" x14ac:dyDescent="0.25">
      <c r="A212" s="15">
        <f t="shared" si="193"/>
        <v>0</v>
      </c>
      <c r="B212" s="20">
        <v>42906</v>
      </c>
      <c r="C212"/>
      <c r="D212" s="12"/>
      <c r="E212" s="12"/>
      <c r="I212" s="12"/>
      <c r="J212" s="12"/>
      <c r="N212" s="12"/>
      <c r="O212" s="12"/>
      <c r="T212" s="15"/>
      <c r="U212" s="20"/>
      <c r="V212" s="36"/>
      <c r="W212" s="12"/>
      <c r="X212" s="12"/>
      <c r="AB212" s="12"/>
      <c r="AC212" s="12"/>
      <c r="AG212" s="12"/>
      <c r="AH212" s="12"/>
      <c r="AK212" s="12"/>
      <c r="AL212" s="13"/>
      <c r="AM212" s="14"/>
      <c r="CK212" s="65"/>
      <c r="CL212" s="13"/>
      <c r="CO212" s="65"/>
      <c r="CP212" s="13"/>
      <c r="CS212" s="65"/>
      <c r="CT212" s="13"/>
      <c r="CW212" s="65"/>
      <c r="CX212" s="13"/>
      <c r="DA212" s="65"/>
      <c r="DB212" s="13"/>
      <c r="DE212" s="65"/>
      <c r="DF212" s="13"/>
      <c r="DI212" s="65"/>
      <c r="DJ212" s="13"/>
      <c r="DM212" s="65"/>
      <c r="DN212" s="13"/>
      <c r="DQ212" s="65"/>
      <c r="DR212" s="13"/>
      <c r="DU212" s="65"/>
      <c r="DV212" s="13"/>
      <c r="DY212" s="65"/>
      <c r="DZ212" s="13"/>
      <c r="EA212" s="14"/>
      <c r="EC212" s="65"/>
      <c r="ED212" s="13"/>
      <c r="EE212" s="14"/>
      <c r="EG212" s="65"/>
      <c r="EH212" s="13"/>
      <c r="EI212" s="14"/>
      <c r="EK212" s="65"/>
      <c r="EL212" s="13"/>
      <c r="EM212" s="14"/>
      <c r="EO212" s="65"/>
      <c r="EP212" s="13"/>
      <c r="EQ212" s="14"/>
      <c r="ES212" s="65"/>
      <c r="ET212" s="13"/>
      <c r="EU212" s="14"/>
      <c r="EW212" s="65"/>
      <c r="EX212" s="13"/>
      <c r="EY212" s="14"/>
      <c r="FA212" s="65"/>
      <c r="FB212" s="13"/>
      <c r="FC212" s="14"/>
      <c r="FE212" s="65"/>
      <c r="FF212" s="13"/>
      <c r="FG212" s="14"/>
      <c r="FI212" s="65"/>
      <c r="FJ212" s="13"/>
      <c r="FK212" s="14"/>
      <c r="FM212" s="65"/>
      <c r="FN212" s="13"/>
      <c r="FO212" s="14"/>
      <c r="FQ212" s="65"/>
      <c r="FR212" s="13"/>
      <c r="FS212" s="14"/>
      <c r="FU212" s="65"/>
      <c r="FV212" s="13"/>
      <c r="FW212" s="14"/>
      <c r="FY212" s="65"/>
      <c r="FZ212" s="13"/>
      <c r="GA212" s="14"/>
      <c r="GC212" s="65"/>
      <c r="GD212" s="13"/>
      <c r="GE212" s="14"/>
      <c r="GG212" s="65"/>
      <c r="GH212" s="13"/>
      <c r="GI212" s="14"/>
      <c r="GK212" s="65"/>
      <c r="GL212" s="13"/>
      <c r="GM212" s="14"/>
      <c r="GO212" s="65"/>
      <c r="GP212" s="13"/>
      <c r="GQ212" s="14"/>
      <c r="GS212" s="65"/>
      <c r="GT212" s="13"/>
      <c r="GU212" s="14"/>
      <c r="GW212" s="65"/>
      <c r="GX212" s="13"/>
      <c r="GY212" s="14"/>
      <c r="HA212" s="65"/>
      <c r="HB212" s="13"/>
      <c r="HC212" s="14"/>
      <c r="HE212" s="65"/>
      <c r="HF212" s="13"/>
      <c r="HG212" s="14"/>
      <c r="HI212" s="65"/>
      <c r="HJ212" s="13"/>
      <c r="HK212" s="14"/>
      <c r="HM212" s="65"/>
      <c r="HN212" s="13"/>
      <c r="HO212" s="14"/>
      <c r="HQ212" s="65"/>
      <c r="HR212" s="13"/>
      <c r="HS212" s="14"/>
      <c r="HU212" s="65"/>
      <c r="HV212" s="13"/>
      <c r="HW212" s="14"/>
      <c r="HY212" s="65"/>
      <c r="HZ212" s="13"/>
      <c r="IA212" s="14"/>
      <c r="IC212" s="65"/>
      <c r="ID212" s="13"/>
      <c r="IE212" s="14"/>
      <c r="IG212" s="65"/>
      <c r="IH212" s="13"/>
      <c r="II212" s="14"/>
      <c r="IK212" s="65"/>
      <c r="IL212" s="13"/>
      <c r="IM212" s="14"/>
      <c r="IO212" s="65"/>
      <c r="IP212" s="13"/>
      <c r="IQ212" s="14"/>
      <c r="IS212" s="65"/>
      <c r="IT212" s="13"/>
      <c r="IU212" s="14"/>
      <c r="IW212" s="65"/>
      <c r="IX212" s="13"/>
      <c r="IY212" s="14"/>
      <c r="JA212" s="65"/>
      <c r="JB212" s="13"/>
      <c r="JC212" s="14"/>
      <c r="JE212" s="65"/>
      <c r="JF212" s="13"/>
      <c r="JG212" s="14"/>
      <c r="JI212" s="65"/>
      <c r="JJ212" s="13"/>
      <c r="JK212" s="14"/>
      <c r="JM212" s="65"/>
      <c r="JN212" s="13"/>
      <c r="JO212" s="14"/>
      <c r="JQ212" s="65"/>
      <c r="JR212" s="13"/>
      <c r="JS212" s="14"/>
      <c r="JU212" s="65"/>
      <c r="JV212" s="13"/>
      <c r="JW212" s="14"/>
      <c r="JY212" s="65"/>
      <c r="JZ212" s="13"/>
      <c r="KA212" s="14"/>
      <c r="KC212" s="65"/>
      <c r="KD212" s="13"/>
      <c r="KE212" s="14"/>
      <c r="KG212" s="65"/>
      <c r="KH212" s="13"/>
      <c r="KI212" s="14"/>
      <c r="KK212" s="65"/>
      <c r="KL212" s="13"/>
      <c r="KM212" s="14"/>
      <c r="KO212" s="65"/>
      <c r="KP212" s="13"/>
      <c r="KQ212" s="14"/>
      <c r="KS212" s="65"/>
      <c r="KT212" s="13"/>
      <c r="KU212" s="14"/>
      <c r="KW212" s="65"/>
      <c r="KX212" s="13"/>
      <c r="KY212" s="14"/>
      <c r="LA212" s="65"/>
      <c r="LB212" s="13"/>
      <c r="LC212" s="14"/>
      <c r="LE212" s="65"/>
      <c r="LF212" s="13"/>
      <c r="LG212" s="14"/>
      <c r="LI212" s="65"/>
      <c r="LJ212" s="13"/>
      <c r="LK212" s="14"/>
      <c r="LM212" s="65"/>
      <c r="LN212" s="13"/>
      <c r="LO212" s="14"/>
      <c r="LQ212" s="65"/>
      <c r="LR212" s="13"/>
      <c r="LS212" s="14"/>
      <c r="LU212" s="65"/>
      <c r="LV212" s="13"/>
      <c r="LW212" s="14"/>
      <c r="LY212" s="65"/>
      <c r="LZ212" s="13"/>
      <c r="MA212" s="14"/>
      <c r="MC212" s="65"/>
      <c r="MD212" s="13"/>
      <c r="ME212" s="14"/>
      <c r="MG212" s="65"/>
      <c r="MH212" s="13"/>
      <c r="MI212" s="14"/>
      <c r="MK212" s="65"/>
      <c r="ML212" s="13"/>
      <c r="MM212" s="14"/>
      <c r="MO212" s="65"/>
      <c r="MP212" s="13"/>
      <c r="MQ212" s="14"/>
      <c r="MS212" s="65"/>
      <c r="MT212" s="13"/>
      <c r="MU212" s="14"/>
    </row>
    <row r="213" spans="1:359" hidden="1" x14ac:dyDescent="0.25">
      <c r="A213" s="15">
        <f t="shared" si="193"/>
        <v>0</v>
      </c>
      <c r="B213" s="20">
        <v>42907</v>
      </c>
      <c r="C213"/>
      <c r="D213" s="12"/>
      <c r="E213" s="12"/>
      <c r="I213" s="12"/>
      <c r="J213" s="12"/>
      <c r="N213" s="12"/>
      <c r="O213" s="12"/>
      <c r="T213" s="15"/>
      <c r="U213" s="20"/>
      <c r="V213" s="36"/>
      <c r="W213" s="12"/>
      <c r="X213" s="12"/>
      <c r="AB213" s="12"/>
      <c r="AC213" s="12"/>
      <c r="AG213" s="12"/>
      <c r="AH213" s="12"/>
      <c r="AK213" s="12"/>
      <c r="AL213" s="13"/>
      <c r="AM213" s="14"/>
      <c r="CK213" s="65"/>
      <c r="CL213" s="13"/>
      <c r="CO213" s="65"/>
      <c r="CP213" s="13"/>
      <c r="CS213" s="65"/>
      <c r="CT213" s="13"/>
      <c r="CW213" s="65"/>
      <c r="CX213" s="13"/>
      <c r="DA213" s="65"/>
      <c r="DB213" s="13"/>
      <c r="DE213" s="65"/>
      <c r="DF213" s="13"/>
      <c r="DI213" s="65"/>
      <c r="DJ213" s="13"/>
      <c r="DM213" s="65"/>
      <c r="DN213" s="13"/>
      <c r="DQ213" s="65"/>
      <c r="DR213" s="13"/>
      <c r="DU213" s="65"/>
      <c r="DV213" s="13"/>
      <c r="DY213" s="65"/>
      <c r="DZ213" s="13"/>
      <c r="EA213" s="14"/>
      <c r="EC213" s="65"/>
      <c r="ED213" s="13"/>
      <c r="EE213" s="14"/>
      <c r="EG213" s="65"/>
      <c r="EH213" s="13"/>
      <c r="EI213" s="14"/>
      <c r="EK213" s="65"/>
      <c r="EL213" s="13"/>
      <c r="EM213" s="14"/>
      <c r="EO213" s="65"/>
      <c r="EP213" s="13"/>
      <c r="EQ213" s="14"/>
      <c r="ES213" s="65"/>
      <c r="ET213" s="13"/>
      <c r="EU213" s="14"/>
      <c r="EW213" s="65"/>
      <c r="EX213" s="13"/>
      <c r="EY213" s="14"/>
      <c r="FA213" s="65"/>
      <c r="FB213" s="13"/>
      <c r="FC213" s="14"/>
      <c r="FE213" s="65"/>
      <c r="FF213" s="13"/>
      <c r="FG213" s="14"/>
      <c r="FI213" s="65"/>
      <c r="FJ213" s="13"/>
      <c r="FK213" s="14"/>
      <c r="FM213" s="65"/>
      <c r="FN213" s="13"/>
      <c r="FO213" s="14"/>
      <c r="FQ213" s="65"/>
      <c r="FR213" s="13"/>
      <c r="FS213" s="14"/>
      <c r="FU213" s="65"/>
      <c r="FV213" s="13"/>
      <c r="FW213" s="14"/>
      <c r="FY213" s="65"/>
      <c r="FZ213" s="13"/>
      <c r="GA213" s="14"/>
      <c r="GC213" s="65"/>
      <c r="GD213" s="13"/>
      <c r="GE213" s="14"/>
      <c r="GG213" s="65"/>
      <c r="GH213" s="13"/>
      <c r="GI213" s="14"/>
      <c r="GK213" s="65"/>
      <c r="GL213" s="13"/>
      <c r="GM213" s="14"/>
      <c r="GO213" s="65"/>
      <c r="GP213" s="13"/>
      <c r="GQ213" s="14"/>
      <c r="GS213" s="65"/>
      <c r="GT213" s="13"/>
      <c r="GU213" s="14"/>
      <c r="GW213" s="65"/>
      <c r="GX213" s="13"/>
      <c r="GY213" s="14"/>
      <c r="HA213" s="65"/>
      <c r="HB213" s="13"/>
      <c r="HC213" s="14"/>
      <c r="HE213" s="65"/>
      <c r="HF213" s="13"/>
      <c r="HG213" s="14"/>
      <c r="HI213" s="65"/>
      <c r="HJ213" s="13"/>
      <c r="HK213" s="14"/>
      <c r="HM213" s="65"/>
      <c r="HN213" s="13"/>
      <c r="HO213" s="14"/>
      <c r="HQ213" s="65"/>
      <c r="HR213" s="13"/>
      <c r="HS213" s="14"/>
      <c r="HU213" s="65"/>
      <c r="HV213" s="13"/>
      <c r="HW213" s="14"/>
      <c r="HY213" s="65"/>
      <c r="HZ213" s="13"/>
      <c r="IA213" s="14"/>
      <c r="IC213" s="65"/>
      <c r="ID213" s="13"/>
      <c r="IE213" s="14"/>
      <c r="IG213" s="65"/>
      <c r="IH213" s="13"/>
      <c r="II213" s="14"/>
      <c r="IK213" s="65"/>
      <c r="IL213" s="13"/>
      <c r="IM213" s="14"/>
      <c r="IO213" s="65"/>
      <c r="IP213" s="13"/>
      <c r="IQ213" s="14"/>
      <c r="IS213" s="65"/>
      <c r="IT213" s="13"/>
      <c r="IU213" s="14"/>
      <c r="IW213" s="65"/>
      <c r="IX213" s="13"/>
      <c r="IY213" s="14"/>
      <c r="JA213" s="65"/>
      <c r="JB213" s="13"/>
      <c r="JC213" s="14"/>
      <c r="JE213" s="65"/>
      <c r="JF213" s="13"/>
      <c r="JG213" s="14"/>
      <c r="JI213" s="65"/>
      <c r="JJ213" s="13"/>
      <c r="JK213" s="14"/>
      <c r="JM213" s="65"/>
      <c r="JN213" s="13"/>
      <c r="JO213" s="14"/>
      <c r="JQ213" s="65"/>
      <c r="JR213" s="13"/>
      <c r="JS213" s="14"/>
      <c r="JU213" s="65"/>
      <c r="JV213" s="13"/>
      <c r="JW213" s="14"/>
      <c r="JY213" s="65"/>
      <c r="JZ213" s="13"/>
      <c r="KA213" s="14"/>
      <c r="KC213" s="65"/>
      <c r="KD213" s="13"/>
      <c r="KE213" s="14"/>
      <c r="KG213" s="65"/>
      <c r="KH213" s="13"/>
      <c r="KI213" s="14"/>
      <c r="KK213" s="65"/>
      <c r="KL213" s="13"/>
      <c r="KM213" s="14"/>
      <c r="KO213" s="65"/>
      <c r="KP213" s="13"/>
      <c r="KQ213" s="14"/>
      <c r="KS213" s="65"/>
      <c r="KT213" s="13"/>
      <c r="KU213" s="14"/>
      <c r="KW213" s="65"/>
      <c r="KX213" s="13"/>
      <c r="KY213" s="14"/>
      <c r="LA213" s="65"/>
      <c r="LB213" s="13"/>
      <c r="LC213" s="14"/>
      <c r="LE213" s="65"/>
      <c r="LF213" s="13"/>
      <c r="LG213" s="14"/>
      <c r="LI213" s="65"/>
      <c r="LJ213" s="13"/>
      <c r="LK213" s="14"/>
      <c r="LM213" s="65"/>
      <c r="LN213" s="13"/>
      <c r="LO213" s="14"/>
      <c r="LQ213" s="65"/>
      <c r="LR213" s="13"/>
      <c r="LS213" s="14"/>
      <c r="LU213" s="65"/>
      <c r="LV213" s="13"/>
      <c r="LW213" s="14"/>
      <c r="LY213" s="65"/>
      <c r="LZ213" s="13"/>
      <c r="MA213" s="14"/>
      <c r="MC213" s="65"/>
      <c r="MD213" s="13"/>
      <c r="ME213" s="14"/>
      <c r="MG213" s="65"/>
      <c r="MH213" s="13"/>
      <c r="MI213" s="14"/>
      <c r="MK213" s="65"/>
      <c r="ML213" s="13"/>
      <c r="MM213" s="14"/>
      <c r="MO213" s="65"/>
      <c r="MP213" s="13"/>
      <c r="MQ213" s="14"/>
      <c r="MS213" s="65"/>
      <c r="MT213" s="13"/>
      <c r="MU213" s="14"/>
    </row>
    <row r="214" spans="1:359" hidden="1" x14ac:dyDescent="0.25">
      <c r="A214" s="15">
        <f t="shared" si="193"/>
        <v>0</v>
      </c>
      <c r="B214" s="20">
        <v>42908</v>
      </c>
      <c r="C214"/>
      <c r="D214" s="12"/>
      <c r="E214" s="12"/>
      <c r="I214" s="12"/>
      <c r="J214" s="12"/>
      <c r="N214" s="12"/>
      <c r="O214" s="12"/>
      <c r="T214" s="15"/>
      <c r="U214" s="20"/>
      <c r="V214" s="36"/>
      <c r="W214" s="12"/>
      <c r="X214" s="12"/>
      <c r="AB214" s="12"/>
      <c r="AC214" s="12"/>
      <c r="AG214" s="12"/>
      <c r="AH214" s="12"/>
      <c r="AK214" s="12"/>
      <c r="AL214" s="13"/>
      <c r="AM214" s="14"/>
      <c r="CK214" s="65"/>
      <c r="CL214" s="13"/>
      <c r="CO214" s="65"/>
      <c r="CP214" s="13"/>
      <c r="CS214" s="65"/>
      <c r="CT214" s="13"/>
      <c r="CW214" s="65"/>
      <c r="CX214" s="13"/>
      <c r="DA214" s="65"/>
      <c r="DB214" s="13"/>
      <c r="DE214" s="65"/>
      <c r="DF214" s="13"/>
      <c r="DI214" s="65"/>
      <c r="DJ214" s="13"/>
      <c r="DM214" s="65"/>
      <c r="DN214" s="13"/>
      <c r="DQ214" s="65"/>
      <c r="DR214" s="13"/>
      <c r="DU214" s="65"/>
      <c r="DV214" s="13"/>
      <c r="DY214" s="65"/>
      <c r="DZ214" s="13"/>
      <c r="EA214" s="14"/>
      <c r="EC214" s="65"/>
      <c r="ED214" s="13"/>
      <c r="EE214" s="14"/>
      <c r="EG214" s="65"/>
      <c r="EH214" s="13"/>
      <c r="EI214" s="14"/>
      <c r="EK214" s="65"/>
      <c r="EL214" s="13"/>
      <c r="EM214" s="14"/>
      <c r="EO214" s="65"/>
      <c r="EP214" s="13"/>
      <c r="EQ214" s="14"/>
      <c r="ES214" s="65"/>
      <c r="ET214" s="13"/>
      <c r="EU214" s="14"/>
      <c r="EW214" s="65"/>
      <c r="EX214" s="13"/>
      <c r="EY214" s="14"/>
      <c r="FA214" s="65"/>
      <c r="FB214" s="13"/>
      <c r="FC214" s="14"/>
      <c r="FE214" s="65"/>
      <c r="FF214" s="13"/>
      <c r="FG214" s="14"/>
      <c r="FI214" s="65"/>
      <c r="FJ214" s="13"/>
      <c r="FK214" s="14"/>
      <c r="FM214" s="65"/>
      <c r="FN214" s="13"/>
      <c r="FO214" s="14"/>
      <c r="FQ214" s="65"/>
      <c r="FR214" s="13"/>
      <c r="FS214" s="14"/>
      <c r="FU214" s="65"/>
      <c r="FV214" s="13"/>
      <c r="FW214" s="14"/>
      <c r="FY214" s="65"/>
      <c r="FZ214" s="13"/>
      <c r="GA214" s="14"/>
      <c r="GC214" s="65"/>
      <c r="GD214" s="13"/>
      <c r="GE214" s="14"/>
      <c r="GG214" s="65"/>
      <c r="GH214" s="13"/>
      <c r="GI214" s="14"/>
      <c r="GK214" s="65"/>
      <c r="GL214" s="13"/>
      <c r="GM214" s="14"/>
      <c r="GO214" s="65"/>
      <c r="GP214" s="13"/>
      <c r="GQ214" s="14"/>
      <c r="GS214" s="65"/>
      <c r="GT214" s="13"/>
      <c r="GU214" s="14"/>
      <c r="GW214" s="65"/>
      <c r="GX214" s="13"/>
      <c r="GY214" s="14"/>
      <c r="HA214" s="65"/>
      <c r="HB214" s="13"/>
      <c r="HC214" s="14"/>
      <c r="HE214" s="65"/>
      <c r="HF214" s="13"/>
      <c r="HG214" s="14"/>
      <c r="HI214" s="65"/>
      <c r="HJ214" s="13"/>
      <c r="HK214" s="14"/>
      <c r="HM214" s="65"/>
      <c r="HN214" s="13"/>
      <c r="HO214" s="14"/>
      <c r="HQ214" s="65"/>
      <c r="HR214" s="13"/>
      <c r="HS214" s="14"/>
      <c r="HU214" s="65"/>
      <c r="HV214" s="13"/>
      <c r="HW214" s="14"/>
      <c r="HY214" s="65"/>
      <c r="HZ214" s="13"/>
      <c r="IA214" s="14"/>
      <c r="IC214" s="65"/>
      <c r="ID214" s="13"/>
      <c r="IE214" s="14"/>
      <c r="IG214" s="65"/>
      <c r="IH214" s="13"/>
      <c r="II214" s="14"/>
      <c r="IK214" s="65"/>
      <c r="IL214" s="13"/>
      <c r="IM214" s="14"/>
      <c r="IO214" s="65"/>
      <c r="IP214" s="13"/>
      <c r="IQ214" s="14"/>
      <c r="IS214" s="65"/>
      <c r="IT214" s="13"/>
      <c r="IU214" s="14"/>
      <c r="IW214" s="65"/>
      <c r="IX214" s="13"/>
      <c r="IY214" s="14"/>
      <c r="JA214" s="65"/>
      <c r="JB214" s="13"/>
      <c r="JC214" s="14"/>
      <c r="JE214" s="65"/>
      <c r="JF214" s="13"/>
      <c r="JG214" s="14"/>
      <c r="JI214" s="65"/>
      <c r="JJ214" s="13"/>
      <c r="JK214" s="14"/>
      <c r="JM214" s="65"/>
      <c r="JN214" s="13"/>
      <c r="JO214" s="14"/>
      <c r="JQ214" s="65"/>
      <c r="JR214" s="13"/>
      <c r="JS214" s="14"/>
      <c r="JU214" s="65"/>
      <c r="JV214" s="13"/>
      <c r="JW214" s="14"/>
      <c r="JY214" s="65"/>
      <c r="JZ214" s="13"/>
      <c r="KA214" s="14"/>
      <c r="KC214" s="65"/>
      <c r="KD214" s="13"/>
      <c r="KE214" s="14"/>
      <c r="KG214" s="65"/>
      <c r="KH214" s="13"/>
      <c r="KI214" s="14"/>
      <c r="KK214" s="65"/>
      <c r="KL214" s="13"/>
      <c r="KM214" s="14"/>
      <c r="KO214" s="65"/>
      <c r="KP214" s="13"/>
      <c r="KQ214" s="14"/>
      <c r="KS214" s="65"/>
      <c r="KT214" s="13"/>
      <c r="KU214" s="14"/>
      <c r="KW214" s="65"/>
      <c r="KX214" s="13"/>
      <c r="KY214" s="14"/>
      <c r="LA214" s="65"/>
      <c r="LB214" s="13"/>
      <c r="LC214" s="14"/>
      <c r="LE214" s="65"/>
      <c r="LF214" s="13"/>
      <c r="LG214" s="14"/>
      <c r="LI214" s="65"/>
      <c r="LJ214" s="13"/>
      <c r="LK214" s="14"/>
      <c r="LM214" s="65"/>
      <c r="LN214" s="13"/>
      <c r="LO214" s="14"/>
      <c r="LQ214" s="65"/>
      <c r="LR214" s="13"/>
      <c r="LS214" s="14"/>
      <c r="LU214" s="65"/>
      <c r="LV214" s="13"/>
      <c r="LW214" s="14"/>
      <c r="LY214" s="65"/>
      <c r="LZ214" s="13"/>
      <c r="MA214" s="14"/>
      <c r="MC214" s="65"/>
      <c r="MD214" s="13"/>
      <c r="ME214" s="14"/>
      <c r="MG214" s="65"/>
      <c r="MH214" s="13"/>
      <c r="MI214" s="14"/>
      <c r="MK214" s="65"/>
      <c r="ML214" s="13"/>
      <c r="MM214" s="14"/>
      <c r="MO214" s="65"/>
      <c r="MP214" s="13"/>
      <c r="MQ214" s="14"/>
      <c r="MS214" s="65"/>
      <c r="MT214" s="13"/>
      <c r="MU214" s="14"/>
    </row>
    <row r="215" spans="1:359" hidden="1" x14ac:dyDescent="0.25">
      <c r="A215" s="15">
        <f t="shared" si="193"/>
        <v>0</v>
      </c>
      <c r="B215" s="20">
        <v>42909</v>
      </c>
      <c r="C215"/>
      <c r="D215" s="12"/>
      <c r="E215" s="12"/>
      <c r="I215" s="12"/>
      <c r="J215" s="12"/>
      <c r="N215" s="12"/>
      <c r="O215" s="12"/>
      <c r="T215" s="15"/>
      <c r="U215" s="20"/>
      <c r="V215" s="36"/>
      <c r="W215" s="12"/>
      <c r="X215" s="12"/>
      <c r="AB215" s="12"/>
      <c r="AC215" s="12"/>
      <c r="AG215" s="12"/>
      <c r="AH215" s="12"/>
      <c r="AK215" s="12"/>
      <c r="AL215" s="13"/>
      <c r="AM215" s="14"/>
      <c r="CK215" s="65"/>
      <c r="CL215" s="13"/>
      <c r="CO215" s="65"/>
      <c r="CP215" s="13"/>
      <c r="CS215" s="65"/>
      <c r="CT215" s="13"/>
      <c r="CW215" s="65"/>
      <c r="CX215" s="13"/>
      <c r="DA215" s="65"/>
      <c r="DB215" s="13"/>
      <c r="DE215" s="65"/>
      <c r="DF215" s="13"/>
      <c r="DI215" s="65"/>
      <c r="DJ215" s="13"/>
      <c r="DM215" s="65"/>
      <c r="DN215" s="13"/>
      <c r="DQ215" s="65"/>
      <c r="DR215" s="13"/>
      <c r="DU215" s="65"/>
      <c r="DV215" s="13"/>
      <c r="DY215" s="65"/>
      <c r="DZ215" s="13"/>
      <c r="EA215" s="14"/>
      <c r="EC215" s="65"/>
      <c r="ED215" s="13"/>
      <c r="EE215" s="14"/>
      <c r="EG215" s="65"/>
      <c r="EH215" s="13"/>
      <c r="EI215" s="14"/>
      <c r="EK215" s="65"/>
      <c r="EL215" s="13"/>
      <c r="EM215" s="14"/>
      <c r="EO215" s="65"/>
      <c r="EP215" s="13"/>
      <c r="EQ215" s="14"/>
      <c r="ES215" s="65"/>
      <c r="ET215" s="13"/>
      <c r="EU215" s="14"/>
      <c r="EW215" s="65"/>
      <c r="EX215" s="13"/>
      <c r="EY215" s="14"/>
      <c r="FA215" s="65"/>
      <c r="FB215" s="13"/>
      <c r="FC215" s="14"/>
      <c r="FE215" s="65"/>
      <c r="FF215" s="13"/>
      <c r="FG215" s="14"/>
      <c r="FI215" s="65"/>
      <c r="FJ215" s="13"/>
      <c r="FK215" s="14"/>
      <c r="FM215" s="65"/>
      <c r="FN215" s="13"/>
      <c r="FO215" s="14"/>
      <c r="FQ215" s="65"/>
      <c r="FR215" s="13"/>
      <c r="FS215" s="14"/>
      <c r="FU215" s="65"/>
      <c r="FV215" s="13"/>
      <c r="FW215" s="14"/>
      <c r="FY215" s="65"/>
      <c r="FZ215" s="13"/>
      <c r="GA215" s="14"/>
      <c r="GC215" s="65"/>
      <c r="GD215" s="13"/>
      <c r="GE215" s="14"/>
      <c r="GG215" s="65"/>
      <c r="GH215" s="13"/>
      <c r="GI215" s="14"/>
      <c r="GK215" s="65"/>
      <c r="GL215" s="13"/>
      <c r="GM215" s="14"/>
      <c r="GO215" s="65"/>
      <c r="GP215" s="13"/>
      <c r="GQ215" s="14"/>
      <c r="GS215" s="65"/>
      <c r="GT215" s="13"/>
      <c r="GU215" s="14"/>
      <c r="GW215" s="65"/>
      <c r="GX215" s="13"/>
      <c r="GY215" s="14"/>
      <c r="HA215" s="65"/>
      <c r="HB215" s="13"/>
      <c r="HC215" s="14"/>
      <c r="HE215" s="65"/>
      <c r="HF215" s="13"/>
      <c r="HG215" s="14"/>
      <c r="HI215" s="65"/>
      <c r="HJ215" s="13"/>
      <c r="HK215" s="14"/>
      <c r="HM215" s="65"/>
      <c r="HN215" s="13"/>
      <c r="HO215" s="14"/>
      <c r="HQ215" s="65"/>
      <c r="HR215" s="13"/>
      <c r="HS215" s="14"/>
      <c r="HU215" s="65"/>
      <c r="HV215" s="13"/>
      <c r="HW215" s="14"/>
      <c r="HY215" s="65"/>
      <c r="HZ215" s="13"/>
      <c r="IA215" s="14"/>
      <c r="IC215" s="65"/>
      <c r="ID215" s="13"/>
      <c r="IE215" s="14"/>
      <c r="IG215" s="65"/>
      <c r="IH215" s="13"/>
      <c r="II215" s="14"/>
      <c r="IK215" s="65"/>
      <c r="IL215" s="13"/>
      <c r="IM215" s="14"/>
      <c r="IO215" s="65"/>
      <c r="IP215" s="13"/>
      <c r="IQ215" s="14"/>
      <c r="IS215" s="65"/>
      <c r="IT215" s="13"/>
      <c r="IU215" s="14"/>
      <c r="IW215" s="65"/>
      <c r="IX215" s="13"/>
      <c r="IY215" s="14"/>
      <c r="JA215" s="65"/>
      <c r="JB215" s="13"/>
      <c r="JC215" s="14"/>
      <c r="JE215" s="65"/>
      <c r="JF215" s="13"/>
      <c r="JG215" s="14"/>
      <c r="JI215" s="65"/>
      <c r="JJ215" s="13"/>
      <c r="JK215" s="14"/>
      <c r="JM215" s="65"/>
      <c r="JN215" s="13"/>
      <c r="JO215" s="14"/>
      <c r="JQ215" s="65"/>
      <c r="JR215" s="13"/>
      <c r="JS215" s="14"/>
      <c r="JU215" s="65"/>
      <c r="JV215" s="13"/>
      <c r="JW215" s="14"/>
      <c r="JY215" s="65"/>
      <c r="JZ215" s="13"/>
      <c r="KA215" s="14"/>
      <c r="KC215" s="65"/>
      <c r="KD215" s="13"/>
      <c r="KE215" s="14"/>
      <c r="KG215" s="65"/>
      <c r="KH215" s="13"/>
      <c r="KI215" s="14"/>
      <c r="KK215" s="65"/>
      <c r="KL215" s="13"/>
      <c r="KM215" s="14"/>
      <c r="KO215" s="65"/>
      <c r="KP215" s="13"/>
      <c r="KQ215" s="14"/>
      <c r="KS215" s="65"/>
      <c r="KT215" s="13"/>
      <c r="KU215" s="14"/>
      <c r="KW215" s="65"/>
      <c r="KX215" s="13"/>
      <c r="KY215" s="14"/>
      <c r="LA215" s="65"/>
      <c r="LB215" s="13"/>
      <c r="LC215" s="14"/>
      <c r="LE215" s="65"/>
      <c r="LF215" s="13"/>
      <c r="LG215" s="14"/>
      <c r="LI215" s="65"/>
      <c r="LJ215" s="13"/>
      <c r="LK215" s="14"/>
      <c r="LM215" s="65"/>
      <c r="LN215" s="13"/>
      <c r="LO215" s="14"/>
      <c r="LQ215" s="65"/>
      <c r="LR215" s="13"/>
      <c r="LS215" s="14"/>
      <c r="LU215" s="65"/>
      <c r="LV215" s="13"/>
      <c r="LW215" s="14"/>
      <c r="LY215" s="65"/>
      <c r="LZ215" s="13"/>
      <c r="MA215" s="14"/>
      <c r="MC215" s="65"/>
      <c r="MD215" s="13"/>
      <c r="ME215" s="14"/>
      <c r="MG215" s="65"/>
      <c r="MH215" s="13"/>
      <c r="MI215" s="14"/>
      <c r="MK215" s="65"/>
      <c r="ML215" s="13"/>
      <c r="MM215" s="14"/>
      <c r="MO215" s="65"/>
      <c r="MP215" s="13"/>
      <c r="MQ215" s="14"/>
      <c r="MS215" s="65"/>
      <c r="MT215" s="13"/>
      <c r="MU215" s="14"/>
    </row>
    <row r="216" spans="1:359" hidden="1" x14ac:dyDescent="0.25">
      <c r="A216" s="15">
        <f t="shared" si="193"/>
        <v>0</v>
      </c>
      <c r="B216" s="20">
        <v>42910</v>
      </c>
      <c r="C216"/>
      <c r="D216" s="12"/>
      <c r="E216" s="12"/>
      <c r="I216" s="12"/>
      <c r="J216" s="12"/>
      <c r="N216" s="12"/>
      <c r="O216" s="12"/>
      <c r="T216" s="15"/>
      <c r="U216" s="20"/>
      <c r="V216" s="36"/>
      <c r="W216" s="12"/>
      <c r="X216" s="12"/>
      <c r="AB216" s="12"/>
      <c r="AC216" s="12"/>
      <c r="AG216" s="12"/>
      <c r="AH216" s="12"/>
      <c r="AK216" s="12"/>
      <c r="AL216" s="13"/>
      <c r="AM216" s="14"/>
      <c r="CK216" s="65"/>
      <c r="CL216" s="13"/>
      <c r="CO216" s="65"/>
      <c r="CP216" s="13"/>
      <c r="CS216" s="65"/>
      <c r="CT216" s="13"/>
      <c r="CW216" s="65"/>
      <c r="CX216" s="13"/>
      <c r="DA216" s="65"/>
      <c r="DB216" s="13"/>
      <c r="DE216" s="65"/>
      <c r="DF216" s="13"/>
      <c r="DI216" s="65"/>
      <c r="DJ216" s="13"/>
      <c r="DM216" s="65"/>
      <c r="DN216" s="13"/>
      <c r="DQ216" s="65"/>
      <c r="DR216" s="13"/>
      <c r="DU216" s="65"/>
      <c r="DV216" s="13"/>
      <c r="DY216" s="65"/>
      <c r="DZ216" s="13"/>
      <c r="EA216" s="14"/>
      <c r="EC216" s="65"/>
      <c r="ED216" s="13"/>
      <c r="EE216" s="14"/>
      <c r="EG216" s="65"/>
      <c r="EH216" s="13"/>
      <c r="EI216" s="14"/>
      <c r="EK216" s="65"/>
      <c r="EL216" s="13"/>
      <c r="EM216" s="14"/>
      <c r="EO216" s="65"/>
      <c r="EP216" s="13"/>
      <c r="EQ216" s="14"/>
      <c r="ES216" s="65"/>
      <c r="ET216" s="13"/>
      <c r="EU216" s="14"/>
      <c r="EW216" s="65"/>
      <c r="EX216" s="13"/>
      <c r="EY216" s="14"/>
      <c r="FA216" s="65"/>
      <c r="FB216" s="13"/>
      <c r="FC216" s="14"/>
      <c r="FE216" s="65"/>
      <c r="FF216" s="13"/>
      <c r="FG216" s="14"/>
      <c r="FI216" s="65"/>
      <c r="FJ216" s="13"/>
      <c r="FK216" s="14"/>
      <c r="FM216" s="65"/>
      <c r="FN216" s="13"/>
      <c r="FO216" s="14"/>
      <c r="FQ216" s="65"/>
      <c r="FR216" s="13"/>
      <c r="FS216" s="14"/>
      <c r="FU216" s="65"/>
      <c r="FV216" s="13"/>
      <c r="FW216" s="14"/>
      <c r="FY216" s="65"/>
      <c r="FZ216" s="13"/>
      <c r="GA216" s="14"/>
      <c r="GC216" s="65"/>
      <c r="GD216" s="13"/>
      <c r="GE216" s="14"/>
      <c r="GG216" s="65"/>
      <c r="GH216" s="13"/>
      <c r="GI216" s="14"/>
      <c r="GK216" s="65"/>
      <c r="GL216" s="13"/>
      <c r="GM216" s="14"/>
      <c r="GO216" s="65"/>
      <c r="GP216" s="13"/>
      <c r="GQ216" s="14"/>
      <c r="GS216" s="65"/>
      <c r="GT216" s="13"/>
      <c r="GU216" s="14"/>
      <c r="GW216" s="65"/>
      <c r="GX216" s="13"/>
      <c r="GY216" s="14"/>
      <c r="HA216" s="65"/>
      <c r="HB216" s="13"/>
      <c r="HC216" s="14"/>
      <c r="HE216" s="65"/>
      <c r="HF216" s="13"/>
      <c r="HG216" s="14"/>
      <c r="HI216" s="65"/>
      <c r="HJ216" s="13"/>
      <c r="HK216" s="14"/>
      <c r="HM216" s="65"/>
      <c r="HN216" s="13"/>
      <c r="HO216" s="14"/>
      <c r="HQ216" s="65"/>
      <c r="HR216" s="13"/>
      <c r="HS216" s="14"/>
      <c r="HU216" s="65"/>
      <c r="HV216" s="13"/>
      <c r="HW216" s="14"/>
      <c r="HY216" s="65"/>
      <c r="HZ216" s="13"/>
      <c r="IA216" s="14"/>
      <c r="IC216" s="65"/>
      <c r="ID216" s="13"/>
      <c r="IE216" s="14"/>
      <c r="IG216" s="65"/>
      <c r="IH216" s="13"/>
      <c r="II216" s="14"/>
      <c r="IK216" s="65"/>
      <c r="IL216" s="13"/>
      <c r="IM216" s="14"/>
      <c r="IO216" s="65"/>
      <c r="IP216" s="13"/>
      <c r="IQ216" s="14"/>
      <c r="IS216" s="65"/>
      <c r="IT216" s="13"/>
      <c r="IU216" s="14"/>
      <c r="IW216" s="65"/>
      <c r="IX216" s="13"/>
      <c r="IY216" s="14"/>
      <c r="JA216" s="65"/>
      <c r="JB216" s="13"/>
      <c r="JC216" s="14"/>
      <c r="JE216" s="65"/>
      <c r="JF216" s="13"/>
      <c r="JG216" s="14"/>
      <c r="JI216" s="65"/>
      <c r="JJ216" s="13"/>
      <c r="JK216" s="14"/>
      <c r="JM216" s="65"/>
      <c r="JN216" s="13"/>
      <c r="JO216" s="14"/>
      <c r="JQ216" s="65"/>
      <c r="JR216" s="13"/>
      <c r="JS216" s="14"/>
      <c r="JU216" s="65"/>
      <c r="JV216" s="13"/>
      <c r="JW216" s="14"/>
      <c r="JY216" s="65"/>
      <c r="JZ216" s="13"/>
      <c r="KA216" s="14"/>
      <c r="KC216" s="65"/>
      <c r="KD216" s="13"/>
      <c r="KE216" s="14"/>
      <c r="KG216" s="65"/>
      <c r="KH216" s="13"/>
      <c r="KI216" s="14"/>
      <c r="KK216" s="65"/>
      <c r="KL216" s="13"/>
      <c r="KM216" s="14"/>
      <c r="KO216" s="65"/>
      <c r="KP216" s="13"/>
      <c r="KQ216" s="14"/>
      <c r="KS216" s="65"/>
      <c r="KT216" s="13"/>
      <c r="KU216" s="14"/>
      <c r="KW216" s="65"/>
      <c r="KX216" s="13"/>
      <c r="KY216" s="14"/>
      <c r="LA216" s="65"/>
      <c r="LB216" s="13"/>
      <c r="LC216" s="14"/>
      <c r="LE216" s="65"/>
      <c r="LF216" s="13"/>
      <c r="LG216" s="14"/>
      <c r="LI216" s="65"/>
      <c r="LJ216" s="13"/>
      <c r="LK216" s="14"/>
      <c r="LM216" s="65"/>
      <c r="LN216" s="13"/>
      <c r="LO216" s="14"/>
      <c r="LQ216" s="65"/>
      <c r="LR216" s="13"/>
      <c r="LS216" s="14"/>
      <c r="LU216" s="65"/>
      <c r="LV216" s="13"/>
      <c r="LW216" s="14"/>
      <c r="LY216" s="65"/>
      <c r="LZ216" s="13"/>
      <c r="MA216" s="14"/>
      <c r="MC216" s="65"/>
      <c r="MD216" s="13"/>
      <c r="ME216" s="14"/>
      <c r="MG216" s="65"/>
      <c r="MH216" s="13"/>
      <c r="MI216" s="14"/>
      <c r="MK216" s="65"/>
      <c r="ML216" s="13"/>
      <c r="MM216" s="14"/>
      <c r="MO216" s="65"/>
      <c r="MP216" s="13"/>
      <c r="MQ216" s="14"/>
      <c r="MS216" s="65"/>
      <c r="MT216" s="13"/>
      <c r="MU216" s="14"/>
    </row>
    <row r="217" spans="1:359" hidden="1" x14ac:dyDescent="0.25">
      <c r="A217" s="15">
        <f t="shared" si="193"/>
        <v>0</v>
      </c>
      <c r="B217" s="20">
        <v>42911</v>
      </c>
      <c r="C217"/>
      <c r="D217" s="12"/>
      <c r="E217" s="12"/>
      <c r="I217" s="12"/>
      <c r="J217" s="12"/>
      <c r="N217" s="12"/>
      <c r="O217" s="12"/>
      <c r="T217" s="15"/>
      <c r="U217" s="20"/>
      <c r="V217" s="36"/>
      <c r="W217" s="12"/>
      <c r="X217" s="12"/>
      <c r="AB217" s="12"/>
      <c r="AC217" s="12"/>
      <c r="AG217" s="12"/>
      <c r="AH217" s="12"/>
      <c r="AK217" s="12"/>
      <c r="AL217" s="13"/>
      <c r="AM217" s="14"/>
      <c r="CK217" s="65"/>
      <c r="CL217" s="13"/>
      <c r="CO217" s="65"/>
      <c r="CP217" s="13"/>
      <c r="CS217" s="65"/>
      <c r="CT217" s="13"/>
      <c r="CW217" s="65"/>
      <c r="CX217" s="13"/>
      <c r="DA217" s="65"/>
      <c r="DB217" s="13"/>
      <c r="DE217" s="65"/>
      <c r="DF217" s="13"/>
      <c r="DI217" s="65"/>
      <c r="DJ217" s="13"/>
      <c r="DM217" s="65"/>
      <c r="DN217" s="13"/>
      <c r="DQ217" s="65"/>
      <c r="DR217" s="13"/>
      <c r="DU217" s="65"/>
      <c r="DV217" s="13"/>
      <c r="DY217" s="65"/>
      <c r="DZ217" s="13"/>
      <c r="EA217" s="14"/>
      <c r="EC217" s="65"/>
      <c r="ED217" s="13"/>
      <c r="EE217" s="14"/>
      <c r="EG217" s="65"/>
      <c r="EH217" s="13"/>
      <c r="EI217" s="14"/>
      <c r="EK217" s="65"/>
      <c r="EL217" s="13"/>
      <c r="EM217" s="14"/>
      <c r="EO217" s="65"/>
      <c r="EP217" s="13"/>
      <c r="EQ217" s="14"/>
      <c r="ES217" s="65"/>
      <c r="ET217" s="13"/>
      <c r="EU217" s="14"/>
      <c r="EW217" s="65"/>
      <c r="EX217" s="13"/>
      <c r="EY217" s="14"/>
      <c r="FA217" s="65"/>
      <c r="FB217" s="13"/>
      <c r="FC217" s="14"/>
      <c r="FE217" s="65"/>
      <c r="FF217" s="13"/>
      <c r="FG217" s="14"/>
      <c r="FI217" s="65"/>
      <c r="FJ217" s="13"/>
      <c r="FK217" s="14"/>
      <c r="FM217" s="65"/>
      <c r="FN217" s="13"/>
      <c r="FO217" s="14"/>
      <c r="FQ217" s="65"/>
      <c r="FR217" s="13"/>
      <c r="FS217" s="14"/>
      <c r="FU217" s="65"/>
      <c r="FV217" s="13"/>
      <c r="FW217" s="14"/>
      <c r="FY217" s="65"/>
      <c r="FZ217" s="13"/>
      <c r="GA217" s="14"/>
      <c r="GC217" s="65"/>
      <c r="GD217" s="13"/>
      <c r="GE217" s="14"/>
      <c r="GG217" s="65"/>
      <c r="GH217" s="13"/>
      <c r="GI217" s="14"/>
      <c r="GK217" s="65"/>
      <c r="GL217" s="13"/>
      <c r="GM217" s="14"/>
      <c r="GO217" s="65"/>
      <c r="GP217" s="13"/>
      <c r="GQ217" s="14"/>
      <c r="GS217" s="65"/>
      <c r="GT217" s="13"/>
      <c r="GU217" s="14"/>
      <c r="GW217" s="65"/>
      <c r="GX217" s="13"/>
      <c r="GY217" s="14"/>
      <c r="HA217" s="65"/>
      <c r="HB217" s="13"/>
      <c r="HC217" s="14"/>
      <c r="HE217" s="65"/>
      <c r="HF217" s="13"/>
      <c r="HG217" s="14"/>
      <c r="HI217" s="65"/>
      <c r="HJ217" s="13"/>
      <c r="HK217" s="14"/>
      <c r="HM217" s="65"/>
      <c r="HN217" s="13"/>
      <c r="HO217" s="14"/>
      <c r="HQ217" s="65"/>
      <c r="HR217" s="13"/>
      <c r="HS217" s="14"/>
      <c r="HU217" s="65"/>
      <c r="HV217" s="13"/>
      <c r="HW217" s="14"/>
      <c r="HY217" s="65"/>
      <c r="HZ217" s="13"/>
      <c r="IA217" s="14"/>
      <c r="IC217" s="65"/>
      <c r="ID217" s="13"/>
      <c r="IE217" s="14"/>
      <c r="IG217" s="65"/>
      <c r="IH217" s="13"/>
      <c r="II217" s="14"/>
      <c r="IK217" s="65"/>
      <c r="IL217" s="13"/>
      <c r="IM217" s="14"/>
      <c r="IO217" s="65"/>
      <c r="IP217" s="13"/>
      <c r="IQ217" s="14"/>
      <c r="IS217" s="65"/>
      <c r="IT217" s="13"/>
      <c r="IU217" s="14"/>
      <c r="IW217" s="65"/>
      <c r="IX217" s="13"/>
      <c r="IY217" s="14"/>
      <c r="JA217" s="65"/>
      <c r="JB217" s="13"/>
      <c r="JC217" s="14"/>
      <c r="JE217" s="65"/>
      <c r="JF217" s="13"/>
      <c r="JG217" s="14"/>
      <c r="JI217" s="65"/>
      <c r="JJ217" s="13"/>
      <c r="JK217" s="14"/>
      <c r="JM217" s="65"/>
      <c r="JN217" s="13"/>
      <c r="JO217" s="14"/>
      <c r="JQ217" s="65"/>
      <c r="JR217" s="13"/>
      <c r="JS217" s="14"/>
      <c r="JU217" s="65"/>
      <c r="JV217" s="13"/>
      <c r="JW217" s="14"/>
      <c r="JY217" s="65"/>
      <c r="JZ217" s="13"/>
      <c r="KA217" s="14"/>
      <c r="KC217" s="65"/>
      <c r="KD217" s="13"/>
      <c r="KE217" s="14"/>
      <c r="KG217" s="65"/>
      <c r="KH217" s="13"/>
      <c r="KI217" s="14"/>
      <c r="KK217" s="65"/>
      <c r="KL217" s="13"/>
      <c r="KM217" s="14"/>
      <c r="KO217" s="65"/>
      <c r="KP217" s="13"/>
      <c r="KQ217" s="14"/>
      <c r="KS217" s="65"/>
      <c r="KT217" s="13"/>
      <c r="KU217" s="14"/>
      <c r="KW217" s="65"/>
      <c r="KX217" s="13"/>
      <c r="KY217" s="14"/>
      <c r="LA217" s="65"/>
      <c r="LB217" s="13"/>
      <c r="LC217" s="14"/>
      <c r="LE217" s="65"/>
      <c r="LF217" s="13"/>
      <c r="LG217" s="14"/>
      <c r="LI217" s="65"/>
      <c r="LJ217" s="13"/>
      <c r="LK217" s="14"/>
      <c r="LM217" s="65"/>
      <c r="LN217" s="13"/>
      <c r="LO217" s="14"/>
      <c r="LQ217" s="65"/>
      <c r="LR217" s="13"/>
      <c r="LS217" s="14"/>
      <c r="LU217" s="65"/>
      <c r="LV217" s="13"/>
      <c r="LW217" s="14"/>
      <c r="LY217" s="65"/>
      <c r="LZ217" s="13"/>
      <c r="MA217" s="14"/>
      <c r="MC217" s="65"/>
      <c r="MD217" s="13"/>
      <c r="ME217" s="14"/>
      <c r="MG217" s="65"/>
      <c r="MH217" s="13"/>
      <c r="MI217" s="14"/>
      <c r="MK217" s="65"/>
      <c r="ML217" s="13"/>
      <c r="MM217" s="14"/>
      <c r="MO217" s="65"/>
      <c r="MP217" s="13"/>
      <c r="MQ217" s="14"/>
      <c r="MS217" s="65"/>
      <c r="MT217" s="13"/>
      <c r="MU217" s="14"/>
    </row>
    <row r="218" spans="1:359" hidden="1" x14ac:dyDescent="0.25">
      <c r="A218" s="15">
        <f t="shared" si="193"/>
        <v>0</v>
      </c>
      <c r="B218" s="20">
        <v>42912</v>
      </c>
      <c r="C218"/>
      <c r="D218" s="12"/>
      <c r="E218" s="12"/>
      <c r="I218" s="12"/>
      <c r="J218" s="12"/>
      <c r="N218" s="12"/>
      <c r="O218" s="12"/>
      <c r="T218" s="15"/>
      <c r="U218" s="20"/>
      <c r="V218" s="36"/>
      <c r="W218" s="12"/>
      <c r="X218" s="12"/>
      <c r="AB218" s="12"/>
      <c r="AC218" s="12"/>
      <c r="AG218" s="12"/>
      <c r="AH218" s="12"/>
      <c r="AK218" s="12"/>
      <c r="AL218" s="13"/>
      <c r="AM218" s="14"/>
      <c r="CK218" s="65"/>
      <c r="CL218" s="13"/>
      <c r="CO218" s="65"/>
      <c r="CP218" s="13"/>
      <c r="CS218" s="65"/>
      <c r="CT218" s="13"/>
      <c r="CW218" s="65"/>
      <c r="CX218" s="13"/>
      <c r="DA218" s="65"/>
      <c r="DB218" s="13"/>
      <c r="DE218" s="65"/>
      <c r="DF218" s="13"/>
      <c r="DI218" s="65"/>
      <c r="DJ218" s="13"/>
      <c r="DM218" s="65"/>
      <c r="DN218" s="13"/>
      <c r="DQ218" s="65"/>
      <c r="DR218" s="13"/>
      <c r="DU218" s="65"/>
      <c r="DV218" s="13"/>
      <c r="DY218" s="65"/>
      <c r="DZ218" s="13"/>
      <c r="EA218" s="14"/>
      <c r="EC218" s="65"/>
      <c r="ED218" s="13"/>
      <c r="EE218" s="14"/>
      <c r="EG218" s="65"/>
      <c r="EH218" s="13"/>
      <c r="EI218" s="14"/>
      <c r="EK218" s="65"/>
      <c r="EL218" s="13"/>
      <c r="EM218" s="14"/>
      <c r="EO218" s="65"/>
      <c r="EP218" s="13"/>
      <c r="EQ218" s="14"/>
      <c r="ES218" s="65"/>
      <c r="ET218" s="13"/>
      <c r="EU218" s="14"/>
      <c r="EW218" s="65"/>
      <c r="EX218" s="13"/>
      <c r="EY218" s="14"/>
      <c r="FA218" s="65"/>
      <c r="FB218" s="13"/>
      <c r="FC218" s="14"/>
      <c r="FE218" s="65"/>
      <c r="FF218" s="13"/>
      <c r="FG218" s="14"/>
      <c r="FI218" s="65"/>
      <c r="FJ218" s="13"/>
      <c r="FK218" s="14"/>
      <c r="FM218" s="65"/>
      <c r="FN218" s="13"/>
      <c r="FO218" s="14"/>
      <c r="FQ218" s="65"/>
      <c r="FR218" s="13"/>
      <c r="FS218" s="14"/>
      <c r="FU218" s="65"/>
      <c r="FV218" s="13"/>
      <c r="FW218" s="14"/>
      <c r="FY218" s="65"/>
      <c r="FZ218" s="13"/>
      <c r="GA218" s="14"/>
      <c r="GC218" s="65"/>
      <c r="GD218" s="13"/>
      <c r="GE218" s="14"/>
      <c r="GG218" s="65"/>
      <c r="GH218" s="13"/>
      <c r="GI218" s="14"/>
      <c r="GK218" s="65"/>
      <c r="GL218" s="13"/>
      <c r="GM218" s="14"/>
      <c r="GO218" s="65"/>
      <c r="GP218" s="13"/>
      <c r="GQ218" s="14"/>
      <c r="GS218" s="65"/>
      <c r="GT218" s="13"/>
      <c r="GU218" s="14"/>
      <c r="GW218" s="65"/>
      <c r="GX218" s="13"/>
      <c r="GY218" s="14"/>
      <c r="HA218" s="65"/>
      <c r="HB218" s="13"/>
      <c r="HC218" s="14"/>
      <c r="HE218" s="65"/>
      <c r="HF218" s="13"/>
      <c r="HG218" s="14"/>
      <c r="HI218" s="65"/>
      <c r="HJ218" s="13"/>
      <c r="HK218" s="14"/>
      <c r="HM218" s="65"/>
      <c r="HN218" s="13"/>
      <c r="HO218" s="14"/>
      <c r="HQ218" s="65"/>
      <c r="HR218" s="13"/>
      <c r="HS218" s="14"/>
      <c r="HU218" s="65"/>
      <c r="HV218" s="13"/>
      <c r="HW218" s="14"/>
      <c r="HY218" s="65"/>
      <c r="HZ218" s="13"/>
      <c r="IA218" s="14"/>
      <c r="IC218" s="65"/>
      <c r="ID218" s="13"/>
      <c r="IE218" s="14"/>
      <c r="IG218" s="65"/>
      <c r="IH218" s="13"/>
      <c r="II218" s="14"/>
      <c r="IK218" s="65"/>
      <c r="IL218" s="13"/>
      <c r="IM218" s="14"/>
      <c r="IO218" s="65"/>
      <c r="IP218" s="13"/>
      <c r="IQ218" s="14"/>
      <c r="IS218" s="65"/>
      <c r="IT218" s="13"/>
      <c r="IU218" s="14"/>
      <c r="IW218" s="65"/>
      <c r="IX218" s="13"/>
      <c r="IY218" s="14"/>
      <c r="JA218" s="65"/>
      <c r="JB218" s="13"/>
      <c r="JC218" s="14"/>
      <c r="JE218" s="65"/>
      <c r="JF218" s="13"/>
      <c r="JG218" s="14"/>
      <c r="JI218" s="65"/>
      <c r="JJ218" s="13"/>
      <c r="JK218" s="14"/>
      <c r="JM218" s="65"/>
      <c r="JN218" s="13"/>
      <c r="JO218" s="14"/>
      <c r="JQ218" s="65"/>
      <c r="JR218" s="13"/>
      <c r="JS218" s="14"/>
      <c r="JU218" s="65"/>
      <c r="JV218" s="13"/>
      <c r="JW218" s="14"/>
      <c r="JY218" s="65"/>
      <c r="JZ218" s="13"/>
      <c r="KA218" s="14"/>
      <c r="KC218" s="65"/>
      <c r="KD218" s="13"/>
      <c r="KE218" s="14"/>
      <c r="KG218" s="65"/>
      <c r="KH218" s="13"/>
      <c r="KI218" s="14"/>
      <c r="KK218" s="65"/>
      <c r="KL218" s="13"/>
      <c r="KM218" s="14"/>
      <c r="KO218" s="65"/>
      <c r="KP218" s="13"/>
      <c r="KQ218" s="14"/>
      <c r="KS218" s="65"/>
      <c r="KT218" s="13"/>
      <c r="KU218" s="14"/>
      <c r="KW218" s="65"/>
      <c r="KX218" s="13"/>
      <c r="KY218" s="14"/>
      <c r="LA218" s="65"/>
      <c r="LB218" s="13"/>
      <c r="LC218" s="14"/>
      <c r="LE218" s="65"/>
      <c r="LF218" s="13"/>
      <c r="LG218" s="14"/>
      <c r="LI218" s="65"/>
      <c r="LJ218" s="13"/>
      <c r="LK218" s="14"/>
      <c r="LM218" s="65"/>
      <c r="LN218" s="13"/>
      <c r="LO218" s="14"/>
      <c r="LQ218" s="65"/>
      <c r="LR218" s="13"/>
      <c r="LS218" s="14"/>
      <c r="LU218" s="65"/>
      <c r="LV218" s="13"/>
      <c r="LW218" s="14"/>
      <c r="LY218" s="65"/>
      <c r="LZ218" s="13"/>
      <c r="MA218" s="14"/>
      <c r="MC218" s="65"/>
      <c r="MD218" s="13"/>
      <c r="ME218" s="14"/>
      <c r="MG218" s="65"/>
      <c r="MH218" s="13"/>
      <c r="MI218" s="14"/>
      <c r="MK218" s="65"/>
      <c r="ML218" s="13"/>
      <c r="MM218" s="14"/>
      <c r="MO218" s="65"/>
      <c r="MP218" s="13"/>
      <c r="MQ218" s="14"/>
      <c r="MS218" s="65"/>
      <c r="MT218" s="13"/>
      <c r="MU218" s="14"/>
    </row>
    <row r="219" spans="1:359" hidden="1" x14ac:dyDescent="0.25">
      <c r="A219" s="15">
        <f t="shared" si="193"/>
        <v>0</v>
      </c>
      <c r="B219" s="20">
        <v>42913</v>
      </c>
      <c r="C219"/>
      <c r="D219" s="12"/>
      <c r="E219" s="12"/>
      <c r="I219" s="12"/>
      <c r="J219" s="12"/>
      <c r="N219" s="12"/>
      <c r="O219" s="12"/>
      <c r="T219" s="15"/>
      <c r="U219" s="20"/>
      <c r="V219" s="36"/>
      <c r="W219" s="12"/>
      <c r="X219" s="12"/>
      <c r="AB219" s="12"/>
      <c r="AC219" s="12"/>
      <c r="AG219" s="12"/>
      <c r="AH219" s="12"/>
      <c r="AK219" s="12"/>
      <c r="AL219" s="13"/>
      <c r="AM219" s="14"/>
      <c r="CK219" s="65"/>
      <c r="CL219" s="13"/>
      <c r="CO219" s="65"/>
      <c r="CP219" s="13"/>
      <c r="CS219" s="65"/>
      <c r="CT219" s="13"/>
      <c r="CW219" s="65"/>
      <c r="CX219" s="13"/>
      <c r="DA219" s="65"/>
      <c r="DB219" s="13"/>
      <c r="DE219" s="65"/>
      <c r="DF219" s="13"/>
      <c r="DI219" s="65"/>
      <c r="DJ219" s="13"/>
      <c r="DM219" s="65"/>
      <c r="DN219" s="13"/>
      <c r="DQ219" s="65"/>
      <c r="DR219" s="13"/>
      <c r="DU219" s="65"/>
      <c r="DV219" s="13"/>
      <c r="DY219" s="65"/>
      <c r="DZ219" s="13"/>
      <c r="EA219" s="14"/>
      <c r="EC219" s="65"/>
      <c r="ED219" s="13"/>
      <c r="EE219" s="14"/>
      <c r="EG219" s="65"/>
      <c r="EH219" s="13"/>
      <c r="EI219" s="14"/>
      <c r="EK219" s="65"/>
      <c r="EL219" s="13"/>
      <c r="EM219" s="14"/>
      <c r="EO219" s="65"/>
      <c r="EP219" s="13"/>
      <c r="EQ219" s="14"/>
      <c r="ES219" s="65"/>
      <c r="ET219" s="13"/>
      <c r="EU219" s="14"/>
      <c r="EW219" s="65"/>
      <c r="EX219" s="13"/>
      <c r="EY219" s="14"/>
      <c r="FA219" s="65"/>
      <c r="FB219" s="13"/>
      <c r="FC219" s="14"/>
      <c r="FE219" s="65"/>
      <c r="FF219" s="13"/>
      <c r="FG219" s="14"/>
      <c r="FI219" s="65"/>
      <c r="FJ219" s="13"/>
      <c r="FK219" s="14"/>
      <c r="FM219" s="65"/>
      <c r="FN219" s="13"/>
      <c r="FO219" s="14"/>
      <c r="FQ219" s="65"/>
      <c r="FR219" s="13"/>
      <c r="FS219" s="14"/>
      <c r="FU219" s="65"/>
      <c r="FV219" s="13"/>
      <c r="FW219" s="14"/>
      <c r="FY219" s="65"/>
      <c r="FZ219" s="13"/>
      <c r="GA219" s="14"/>
      <c r="GC219" s="65"/>
      <c r="GD219" s="13"/>
      <c r="GE219" s="14"/>
      <c r="GG219" s="65"/>
      <c r="GH219" s="13"/>
      <c r="GI219" s="14"/>
      <c r="GK219" s="65"/>
      <c r="GL219" s="13"/>
      <c r="GM219" s="14"/>
      <c r="GO219" s="65"/>
      <c r="GP219" s="13"/>
      <c r="GQ219" s="14"/>
      <c r="GS219" s="65"/>
      <c r="GT219" s="13"/>
      <c r="GU219" s="14"/>
      <c r="GW219" s="65"/>
      <c r="GX219" s="13"/>
      <c r="GY219" s="14"/>
      <c r="HA219" s="65"/>
      <c r="HB219" s="13"/>
      <c r="HC219" s="14"/>
      <c r="HE219" s="65"/>
      <c r="HF219" s="13"/>
      <c r="HG219" s="14"/>
      <c r="HI219" s="65"/>
      <c r="HJ219" s="13"/>
      <c r="HK219" s="14"/>
      <c r="HM219" s="65"/>
      <c r="HN219" s="13"/>
      <c r="HO219" s="14"/>
      <c r="HQ219" s="65"/>
      <c r="HR219" s="13"/>
      <c r="HS219" s="14"/>
      <c r="HU219" s="65"/>
      <c r="HV219" s="13"/>
      <c r="HW219" s="14"/>
      <c r="HY219" s="65"/>
      <c r="HZ219" s="13"/>
      <c r="IA219" s="14"/>
      <c r="IC219" s="65"/>
      <c r="ID219" s="13"/>
      <c r="IE219" s="14"/>
      <c r="IG219" s="65"/>
      <c r="IH219" s="13"/>
      <c r="II219" s="14"/>
      <c r="IK219" s="65"/>
      <c r="IL219" s="13"/>
      <c r="IM219" s="14"/>
      <c r="IO219" s="65"/>
      <c r="IP219" s="13"/>
      <c r="IQ219" s="14"/>
      <c r="IS219" s="65"/>
      <c r="IT219" s="13"/>
      <c r="IU219" s="14"/>
      <c r="IW219" s="65"/>
      <c r="IX219" s="13"/>
      <c r="IY219" s="14"/>
      <c r="JA219" s="65"/>
      <c r="JB219" s="13"/>
      <c r="JC219" s="14"/>
      <c r="JE219" s="65"/>
      <c r="JF219" s="13"/>
      <c r="JG219" s="14"/>
      <c r="JI219" s="65"/>
      <c r="JJ219" s="13"/>
      <c r="JK219" s="14"/>
      <c r="JM219" s="65"/>
      <c r="JN219" s="13"/>
      <c r="JO219" s="14"/>
      <c r="JQ219" s="65"/>
      <c r="JR219" s="13"/>
      <c r="JS219" s="14"/>
      <c r="JU219" s="65"/>
      <c r="JV219" s="13"/>
      <c r="JW219" s="14"/>
      <c r="JY219" s="65"/>
      <c r="JZ219" s="13"/>
      <c r="KA219" s="14"/>
      <c r="KC219" s="65"/>
      <c r="KD219" s="13"/>
      <c r="KE219" s="14"/>
      <c r="KG219" s="65"/>
      <c r="KH219" s="13"/>
      <c r="KI219" s="14"/>
      <c r="KK219" s="65"/>
      <c r="KL219" s="13"/>
      <c r="KM219" s="14"/>
      <c r="KO219" s="65"/>
      <c r="KP219" s="13"/>
      <c r="KQ219" s="14"/>
      <c r="KS219" s="65"/>
      <c r="KT219" s="13"/>
      <c r="KU219" s="14"/>
      <c r="KW219" s="65"/>
      <c r="KX219" s="13"/>
      <c r="KY219" s="14"/>
      <c r="LA219" s="65"/>
      <c r="LB219" s="13"/>
      <c r="LC219" s="14"/>
      <c r="LE219" s="65"/>
      <c r="LF219" s="13"/>
      <c r="LG219" s="14"/>
      <c r="LI219" s="65"/>
      <c r="LJ219" s="13"/>
      <c r="LK219" s="14"/>
      <c r="LM219" s="65"/>
      <c r="LN219" s="13"/>
      <c r="LO219" s="14"/>
      <c r="LQ219" s="65"/>
      <c r="LR219" s="13"/>
      <c r="LS219" s="14"/>
      <c r="LU219" s="65"/>
      <c r="LV219" s="13"/>
      <c r="LW219" s="14"/>
      <c r="LY219" s="65"/>
      <c r="LZ219" s="13"/>
      <c r="MA219" s="14"/>
      <c r="MC219" s="65"/>
      <c r="MD219" s="13"/>
      <c r="ME219" s="14"/>
      <c r="MG219" s="65"/>
      <c r="MH219" s="13"/>
      <c r="MI219" s="14"/>
      <c r="MK219" s="65"/>
      <c r="ML219" s="13"/>
      <c r="MM219" s="14"/>
      <c r="MO219" s="65"/>
      <c r="MP219" s="13"/>
      <c r="MQ219" s="14"/>
      <c r="MS219" s="65"/>
      <c r="MT219" s="13"/>
      <c r="MU219" s="14"/>
    </row>
    <row r="220" spans="1:359" hidden="1" x14ac:dyDescent="0.25">
      <c r="A220" s="15">
        <f t="shared" si="193"/>
        <v>0</v>
      </c>
      <c r="B220" s="20">
        <v>42914</v>
      </c>
      <c r="C220"/>
      <c r="D220" s="12"/>
      <c r="E220" s="12"/>
      <c r="I220" s="12"/>
      <c r="J220" s="12"/>
      <c r="N220" s="12"/>
      <c r="O220" s="12"/>
      <c r="T220" s="15"/>
      <c r="U220" s="20"/>
      <c r="V220" s="36"/>
      <c r="W220" s="12"/>
      <c r="X220" s="12"/>
      <c r="AB220" s="12"/>
      <c r="AC220" s="12"/>
      <c r="AG220" s="12"/>
      <c r="AH220" s="12"/>
      <c r="AK220" s="12"/>
      <c r="AL220" s="13"/>
      <c r="AM220" s="14"/>
      <c r="CK220" s="65"/>
      <c r="CL220" s="13"/>
      <c r="CO220" s="65"/>
      <c r="CP220" s="13"/>
      <c r="CS220" s="65"/>
      <c r="CT220" s="13"/>
      <c r="CW220" s="65"/>
      <c r="CX220" s="13"/>
      <c r="DA220" s="65"/>
      <c r="DB220" s="13"/>
      <c r="DE220" s="65"/>
      <c r="DF220" s="13"/>
      <c r="DI220" s="65"/>
      <c r="DJ220" s="13"/>
      <c r="DM220" s="65"/>
      <c r="DN220" s="13"/>
      <c r="DQ220" s="65"/>
      <c r="DR220" s="13"/>
      <c r="DU220" s="65"/>
      <c r="DV220" s="13"/>
      <c r="DY220" s="65"/>
      <c r="DZ220" s="13"/>
      <c r="EA220" s="14"/>
      <c r="EC220" s="65"/>
      <c r="ED220" s="13"/>
      <c r="EE220" s="14"/>
      <c r="EG220" s="65"/>
      <c r="EH220" s="13"/>
      <c r="EI220" s="14"/>
      <c r="EK220" s="65"/>
      <c r="EL220" s="13"/>
      <c r="EM220" s="14"/>
      <c r="EO220" s="65"/>
      <c r="EP220" s="13"/>
      <c r="EQ220" s="14"/>
      <c r="ES220" s="65"/>
      <c r="ET220" s="13"/>
      <c r="EU220" s="14"/>
      <c r="EW220" s="65"/>
      <c r="EX220" s="13"/>
      <c r="EY220" s="14"/>
      <c r="FA220" s="65"/>
      <c r="FB220" s="13"/>
      <c r="FC220" s="14"/>
      <c r="FE220" s="65"/>
      <c r="FF220" s="13"/>
      <c r="FG220" s="14"/>
      <c r="FI220" s="65"/>
      <c r="FJ220" s="13"/>
      <c r="FK220" s="14"/>
      <c r="FM220" s="65"/>
      <c r="FN220" s="13"/>
      <c r="FO220" s="14"/>
      <c r="FQ220" s="65"/>
      <c r="FR220" s="13"/>
      <c r="FS220" s="14"/>
      <c r="FU220" s="65"/>
      <c r="FV220" s="13"/>
      <c r="FW220" s="14"/>
      <c r="FY220" s="65"/>
      <c r="FZ220" s="13"/>
      <c r="GA220" s="14"/>
      <c r="GC220" s="65"/>
      <c r="GD220" s="13"/>
      <c r="GE220" s="14"/>
      <c r="GG220" s="65"/>
      <c r="GH220" s="13"/>
      <c r="GI220" s="14"/>
      <c r="GK220" s="65"/>
      <c r="GL220" s="13"/>
      <c r="GM220" s="14"/>
      <c r="GO220" s="65"/>
      <c r="GP220" s="13"/>
      <c r="GQ220" s="14"/>
      <c r="GS220" s="65"/>
      <c r="GT220" s="13"/>
      <c r="GU220" s="14"/>
      <c r="GW220" s="65"/>
      <c r="GX220" s="13"/>
      <c r="GY220" s="14"/>
      <c r="HA220" s="65"/>
      <c r="HB220" s="13"/>
      <c r="HC220" s="14"/>
      <c r="HE220" s="65"/>
      <c r="HF220" s="13"/>
      <c r="HG220" s="14"/>
      <c r="HI220" s="65"/>
      <c r="HJ220" s="13"/>
      <c r="HK220" s="14"/>
      <c r="HM220" s="65"/>
      <c r="HN220" s="13"/>
      <c r="HO220" s="14"/>
      <c r="HQ220" s="65"/>
      <c r="HR220" s="13"/>
      <c r="HS220" s="14"/>
      <c r="HU220" s="65"/>
      <c r="HV220" s="13"/>
      <c r="HW220" s="14"/>
      <c r="HY220" s="65"/>
      <c r="HZ220" s="13"/>
      <c r="IA220" s="14"/>
      <c r="IC220" s="65"/>
      <c r="ID220" s="13"/>
      <c r="IE220" s="14"/>
      <c r="IG220" s="65"/>
      <c r="IH220" s="13"/>
      <c r="II220" s="14"/>
      <c r="IK220" s="65"/>
      <c r="IL220" s="13"/>
      <c r="IM220" s="14"/>
      <c r="IO220" s="65"/>
      <c r="IP220" s="13"/>
      <c r="IQ220" s="14"/>
      <c r="IS220" s="65"/>
      <c r="IT220" s="13"/>
      <c r="IU220" s="14"/>
      <c r="IW220" s="65"/>
      <c r="IX220" s="13"/>
      <c r="IY220" s="14"/>
      <c r="JA220" s="65"/>
      <c r="JB220" s="13"/>
      <c r="JC220" s="14"/>
      <c r="JE220" s="65"/>
      <c r="JF220" s="13"/>
      <c r="JG220" s="14"/>
      <c r="JI220" s="65"/>
      <c r="JJ220" s="13"/>
      <c r="JK220" s="14"/>
      <c r="JM220" s="65"/>
      <c r="JN220" s="13"/>
      <c r="JO220" s="14"/>
      <c r="JQ220" s="65"/>
      <c r="JR220" s="13"/>
      <c r="JS220" s="14"/>
      <c r="JU220" s="65"/>
      <c r="JV220" s="13"/>
      <c r="JW220" s="14"/>
      <c r="JY220" s="65"/>
      <c r="JZ220" s="13"/>
      <c r="KA220" s="14"/>
      <c r="KC220" s="65"/>
      <c r="KD220" s="13"/>
      <c r="KE220" s="14"/>
      <c r="KG220" s="65"/>
      <c r="KH220" s="13"/>
      <c r="KI220" s="14"/>
      <c r="KK220" s="65"/>
      <c r="KL220" s="13"/>
      <c r="KM220" s="14"/>
      <c r="KO220" s="65"/>
      <c r="KP220" s="13"/>
      <c r="KQ220" s="14"/>
      <c r="KS220" s="65"/>
      <c r="KT220" s="13"/>
      <c r="KU220" s="14"/>
      <c r="KW220" s="65"/>
      <c r="KX220" s="13"/>
      <c r="KY220" s="14"/>
      <c r="LA220" s="65"/>
      <c r="LB220" s="13"/>
      <c r="LC220" s="14"/>
      <c r="LE220" s="65"/>
      <c r="LF220" s="13"/>
      <c r="LG220" s="14"/>
      <c r="LI220" s="65"/>
      <c r="LJ220" s="13"/>
      <c r="LK220" s="14"/>
      <c r="LM220" s="65"/>
      <c r="LN220" s="13"/>
      <c r="LO220" s="14"/>
      <c r="LQ220" s="65"/>
      <c r="LR220" s="13"/>
      <c r="LS220" s="14"/>
      <c r="LU220" s="65"/>
      <c r="LV220" s="13"/>
      <c r="LW220" s="14"/>
      <c r="LY220" s="65"/>
      <c r="LZ220" s="13"/>
      <c r="MA220" s="14"/>
      <c r="MC220" s="65"/>
      <c r="MD220" s="13"/>
      <c r="ME220" s="14"/>
      <c r="MG220" s="65"/>
      <c r="MH220" s="13"/>
      <c r="MI220" s="14"/>
      <c r="MK220" s="65"/>
      <c r="ML220" s="13"/>
      <c r="MM220" s="14"/>
      <c r="MO220" s="65"/>
      <c r="MP220" s="13"/>
      <c r="MQ220" s="14"/>
      <c r="MS220" s="65"/>
      <c r="MT220" s="13"/>
      <c r="MU220" s="14"/>
    </row>
    <row r="221" spans="1:359" hidden="1" x14ac:dyDescent="0.25">
      <c r="A221" s="15">
        <f t="shared" si="193"/>
        <v>0</v>
      </c>
      <c r="B221" s="20">
        <v>42915</v>
      </c>
      <c r="C221"/>
      <c r="D221" s="12"/>
      <c r="E221" s="12"/>
      <c r="I221" s="12"/>
      <c r="J221" s="12"/>
      <c r="N221" s="12"/>
      <c r="O221" s="12"/>
      <c r="T221" s="15"/>
      <c r="U221" s="20"/>
      <c r="V221" s="36"/>
      <c r="W221" s="12"/>
      <c r="X221" s="12"/>
      <c r="AB221" s="12"/>
      <c r="AC221" s="12"/>
      <c r="AG221" s="12"/>
      <c r="AH221" s="12"/>
      <c r="AK221" s="12"/>
      <c r="AL221" s="13"/>
      <c r="AM221" s="14"/>
      <c r="CK221" s="65"/>
      <c r="CL221" s="13"/>
      <c r="CO221" s="65"/>
      <c r="CP221" s="13"/>
      <c r="CS221" s="65"/>
      <c r="CT221" s="13"/>
      <c r="CW221" s="65"/>
      <c r="CX221" s="13"/>
      <c r="DA221" s="65"/>
      <c r="DB221" s="13"/>
      <c r="DE221" s="65"/>
      <c r="DF221" s="13"/>
      <c r="DI221" s="65"/>
      <c r="DJ221" s="13"/>
      <c r="DM221" s="65"/>
      <c r="DN221" s="13"/>
      <c r="DQ221" s="65"/>
      <c r="DR221" s="13"/>
      <c r="DU221" s="65"/>
      <c r="DV221" s="13"/>
      <c r="DY221" s="65"/>
      <c r="DZ221" s="13"/>
      <c r="EA221" s="14"/>
      <c r="EC221" s="65"/>
      <c r="ED221" s="13"/>
      <c r="EE221" s="14"/>
      <c r="EG221" s="65"/>
      <c r="EH221" s="13"/>
      <c r="EI221" s="14"/>
      <c r="EK221" s="65"/>
      <c r="EL221" s="13"/>
      <c r="EM221" s="14"/>
      <c r="EO221" s="65"/>
      <c r="EP221" s="13"/>
      <c r="EQ221" s="14"/>
      <c r="ES221" s="65"/>
      <c r="ET221" s="13"/>
      <c r="EU221" s="14"/>
      <c r="EW221" s="65"/>
      <c r="EX221" s="13"/>
      <c r="EY221" s="14"/>
      <c r="FA221" s="65"/>
      <c r="FB221" s="13"/>
      <c r="FC221" s="14"/>
      <c r="FE221" s="65"/>
      <c r="FF221" s="13"/>
      <c r="FG221" s="14"/>
      <c r="FI221" s="65"/>
      <c r="FJ221" s="13"/>
      <c r="FK221" s="14"/>
      <c r="FM221" s="65"/>
      <c r="FN221" s="13"/>
      <c r="FO221" s="14"/>
      <c r="FQ221" s="65"/>
      <c r="FR221" s="13"/>
      <c r="FS221" s="14"/>
      <c r="FU221" s="65"/>
      <c r="FV221" s="13"/>
      <c r="FW221" s="14"/>
      <c r="FY221" s="65"/>
      <c r="FZ221" s="13"/>
      <c r="GA221" s="14"/>
      <c r="GC221" s="65"/>
      <c r="GD221" s="13"/>
      <c r="GE221" s="14"/>
      <c r="GG221" s="65"/>
      <c r="GH221" s="13"/>
      <c r="GI221" s="14"/>
      <c r="GK221" s="65"/>
      <c r="GL221" s="13"/>
      <c r="GM221" s="14"/>
      <c r="GO221" s="65"/>
      <c r="GP221" s="13"/>
      <c r="GQ221" s="14"/>
      <c r="GS221" s="65"/>
      <c r="GT221" s="13"/>
      <c r="GU221" s="14"/>
      <c r="GW221" s="65"/>
      <c r="GX221" s="13"/>
      <c r="GY221" s="14"/>
      <c r="HA221" s="65"/>
      <c r="HB221" s="13"/>
      <c r="HC221" s="14"/>
      <c r="HE221" s="65"/>
      <c r="HF221" s="13"/>
      <c r="HG221" s="14"/>
      <c r="HI221" s="65"/>
      <c r="HJ221" s="13"/>
      <c r="HK221" s="14"/>
      <c r="HM221" s="65"/>
      <c r="HN221" s="13"/>
      <c r="HO221" s="14"/>
      <c r="HQ221" s="65"/>
      <c r="HR221" s="13"/>
      <c r="HS221" s="14"/>
      <c r="HU221" s="65"/>
      <c r="HV221" s="13"/>
      <c r="HW221" s="14"/>
      <c r="HY221" s="65"/>
      <c r="HZ221" s="13"/>
      <c r="IA221" s="14"/>
      <c r="IC221" s="65"/>
      <c r="ID221" s="13"/>
      <c r="IE221" s="14"/>
      <c r="IG221" s="65"/>
      <c r="IH221" s="13"/>
      <c r="II221" s="14"/>
      <c r="IK221" s="65"/>
      <c r="IL221" s="13"/>
      <c r="IM221" s="14"/>
      <c r="IO221" s="65"/>
      <c r="IP221" s="13"/>
      <c r="IQ221" s="14"/>
      <c r="IS221" s="65"/>
      <c r="IT221" s="13"/>
      <c r="IU221" s="14"/>
      <c r="IW221" s="65"/>
      <c r="IX221" s="13"/>
      <c r="IY221" s="14"/>
      <c r="JA221" s="65"/>
      <c r="JB221" s="13"/>
      <c r="JC221" s="14"/>
      <c r="JE221" s="65"/>
      <c r="JF221" s="13"/>
      <c r="JG221" s="14"/>
      <c r="JI221" s="65"/>
      <c r="JJ221" s="13"/>
      <c r="JK221" s="14"/>
      <c r="JM221" s="65"/>
      <c r="JN221" s="13"/>
      <c r="JO221" s="14"/>
      <c r="JQ221" s="65"/>
      <c r="JR221" s="13"/>
      <c r="JS221" s="14"/>
      <c r="JU221" s="65"/>
      <c r="JV221" s="13"/>
      <c r="JW221" s="14"/>
      <c r="JY221" s="65"/>
      <c r="JZ221" s="13"/>
      <c r="KA221" s="14"/>
      <c r="KC221" s="65"/>
      <c r="KD221" s="13"/>
      <c r="KE221" s="14"/>
      <c r="KG221" s="65"/>
      <c r="KH221" s="13"/>
      <c r="KI221" s="14"/>
      <c r="KK221" s="65"/>
      <c r="KL221" s="13"/>
      <c r="KM221" s="14"/>
      <c r="KO221" s="65"/>
      <c r="KP221" s="13"/>
      <c r="KQ221" s="14"/>
      <c r="KS221" s="65"/>
      <c r="KT221" s="13"/>
      <c r="KU221" s="14"/>
      <c r="KW221" s="65"/>
      <c r="KX221" s="13"/>
      <c r="KY221" s="14"/>
      <c r="LA221" s="65"/>
      <c r="LB221" s="13"/>
      <c r="LC221" s="14"/>
      <c r="LE221" s="65"/>
      <c r="LF221" s="13"/>
      <c r="LG221" s="14"/>
      <c r="LI221" s="65"/>
      <c r="LJ221" s="13"/>
      <c r="LK221" s="14"/>
      <c r="LM221" s="65"/>
      <c r="LN221" s="13"/>
      <c r="LO221" s="14"/>
      <c r="LQ221" s="65"/>
      <c r="LR221" s="13"/>
      <c r="LS221" s="14"/>
      <c r="LU221" s="65"/>
      <c r="LV221" s="13"/>
      <c r="LW221" s="14"/>
      <c r="LY221" s="65"/>
      <c r="LZ221" s="13"/>
      <c r="MA221" s="14"/>
      <c r="MC221" s="65"/>
      <c r="MD221" s="13"/>
      <c r="ME221" s="14"/>
      <c r="MG221" s="65"/>
      <c r="MH221" s="13"/>
      <c r="MI221" s="14"/>
      <c r="MK221" s="65"/>
      <c r="ML221" s="13"/>
      <c r="MM221" s="14"/>
      <c r="MO221" s="65"/>
      <c r="MP221" s="13"/>
      <c r="MQ221" s="14"/>
      <c r="MS221" s="65"/>
      <c r="MT221" s="13"/>
      <c r="MU221" s="14"/>
    </row>
    <row r="222" spans="1:359" hidden="1" x14ac:dyDescent="0.25">
      <c r="A222" s="15">
        <f t="shared" si="193"/>
        <v>0</v>
      </c>
      <c r="B222" s="20">
        <v>42916</v>
      </c>
      <c r="C222"/>
      <c r="D222" s="12"/>
      <c r="E222" s="12"/>
      <c r="I222" s="12"/>
      <c r="J222" s="12"/>
      <c r="N222" s="12"/>
      <c r="O222" s="12"/>
      <c r="T222" s="15"/>
      <c r="U222" s="20"/>
      <c r="V222" s="36"/>
      <c r="W222" s="12"/>
      <c r="X222" s="12"/>
      <c r="AB222" s="12"/>
      <c r="AC222" s="12"/>
      <c r="AG222" s="12"/>
      <c r="AH222" s="12"/>
      <c r="AK222" s="12"/>
      <c r="AL222" s="13"/>
      <c r="AM222" s="14"/>
      <c r="CK222" s="65"/>
      <c r="CL222" s="13"/>
      <c r="CO222" s="65"/>
      <c r="CP222" s="13"/>
      <c r="CS222" s="65"/>
      <c r="CT222" s="13"/>
      <c r="CW222" s="65"/>
      <c r="CX222" s="13"/>
      <c r="DA222" s="65"/>
      <c r="DB222" s="13"/>
      <c r="DE222" s="65"/>
      <c r="DF222" s="13"/>
      <c r="DI222" s="65"/>
      <c r="DJ222" s="13"/>
      <c r="DM222" s="65"/>
      <c r="DN222" s="13"/>
      <c r="DQ222" s="65"/>
      <c r="DR222" s="13"/>
      <c r="DU222" s="65"/>
      <c r="DV222" s="13"/>
      <c r="DY222" s="65"/>
      <c r="DZ222" s="13"/>
      <c r="EA222" s="14"/>
      <c r="EC222" s="65"/>
      <c r="ED222" s="13"/>
      <c r="EE222" s="14"/>
      <c r="EG222" s="65"/>
      <c r="EH222" s="13"/>
      <c r="EI222" s="14"/>
      <c r="EK222" s="65"/>
      <c r="EL222" s="13"/>
      <c r="EM222" s="14"/>
      <c r="EO222" s="65"/>
      <c r="EP222" s="13"/>
      <c r="EQ222" s="14"/>
      <c r="ES222" s="65"/>
      <c r="ET222" s="13"/>
      <c r="EU222" s="14"/>
      <c r="EW222" s="65"/>
      <c r="EX222" s="13"/>
      <c r="EY222" s="14"/>
      <c r="FA222" s="65"/>
      <c r="FB222" s="13"/>
      <c r="FC222" s="14"/>
      <c r="FE222" s="65"/>
      <c r="FF222" s="13"/>
      <c r="FG222" s="14"/>
      <c r="FI222" s="65"/>
      <c r="FJ222" s="13"/>
      <c r="FK222" s="14"/>
      <c r="FM222" s="65"/>
      <c r="FN222" s="13"/>
      <c r="FO222" s="14"/>
      <c r="FQ222" s="65"/>
      <c r="FR222" s="13"/>
      <c r="FS222" s="14"/>
      <c r="FU222" s="65"/>
      <c r="FV222" s="13"/>
      <c r="FW222" s="14"/>
      <c r="FY222" s="65"/>
      <c r="FZ222" s="13"/>
      <c r="GA222" s="14"/>
      <c r="GC222" s="65"/>
      <c r="GD222" s="13"/>
      <c r="GE222" s="14"/>
      <c r="GG222" s="65"/>
      <c r="GH222" s="13"/>
      <c r="GI222" s="14"/>
      <c r="GK222" s="65"/>
      <c r="GL222" s="13"/>
      <c r="GM222" s="14"/>
      <c r="GO222" s="65"/>
      <c r="GP222" s="13"/>
      <c r="GQ222" s="14"/>
      <c r="GS222" s="65"/>
      <c r="GT222" s="13"/>
      <c r="GU222" s="14"/>
      <c r="GW222" s="65"/>
      <c r="GX222" s="13"/>
      <c r="GY222" s="14"/>
      <c r="HA222" s="65"/>
      <c r="HB222" s="13"/>
      <c r="HC222" s="14"/>
      <c r="HE222" s="65"/>
      <c r="HF222" s="13"/>
      <c r="HG222" s="14"/>
      <c r="HI222" s="65"/>
      <c r="HJ222" s="13"/>
      <c r="HK222" s="14"/>
      <c r="HM222" s="65"/>
      <c r="HN222" s="13"/>
      <c r="HO222" s="14"/>
      <c r="HQ222" s="65"/>
      <c r="HR222" s="13"/>
      <c r="HS222" s="14"/>
      <c r="HU222" s="65"/>
      <c r="HV222" s="13"/>
      <c r="HW222" s="14"/>
      <c r="HY222" s="65"/>
      <c r="HZ222" s="13"/>
      <c r="IA222" s="14"/>
      <c r="IC222" s="65"/>
      <c r="ID222" s="13"/>
      <c r="IE222" s="14"/>
      <c r="IG222" s="65"/>
      <c r="IH222" s="13"/>
      <c r="II222" s="14"/>
      <c r="IK222" s="65"/>
      <c r="IL222" s="13"/>
      <c r="IM222" s="14"/>
      <c r="IO222" s="65"/>
      <c r="IP222" s="13"/>
      <c r="IQ222" s="14"/>
      <c r="IS222" s="65"/>
      <c r="IT222" s="13"/>
      <c r="IU222" s="14"/>
      <c r="IW222" s="65"/>
      <c r="IX222" s="13"/>
      <c r="IY222" s="14"/>
      <c r="JA222" s="65"/>
      <c r="JB222" s="13"/>
      <c r="JC222" s="14"/>
      <c r="JE222" s="65"/>
      <c r="JF222" s="13"/>
      <c r="JG222" s="14"/>
      <c r="JI222" s="65"/>
      <c r="JJ222" s="13"/>
      <c r="JK222" s="14"/>
      <c r="JM222" s="65"/>
      <c r="JN222" s="13"/>
      <c r="JO222" s="14"/>
      <c r="JQ222" s="65"/>
      <c r="JR222" s="13"/>
      <c r="JS222" s="14"/>
      <c r="JU222" s="65"/>
      <c r="JV222" s="13"/>
      <c r="JW222" s="14"/>
      <c r="JY222" s="65"/>
      <c r="JZ222" s="13"/>
      <c r="KA222" s="14"/>
      <c r="KC222" s="65"/>
      <c r="KD222" s="13"/>
      <c r="KE222" s="14"/>
      <c r="KG222" s="65"/>
      <c r="KH222" s="13"/>
      <c r="KI222" s="14"/>
      <c r="KK222" s="65"/>
      <c r="KL222" s="13"/>
      <c r="KM222" s="14"/>
      <c r="KO222" s="65"/>
      <c r="KP222" s="13"/>
      <c r="KQ222" s="14"/>
      <c r="KS222" s="65"/>
      <c r="KT222" s="13"/>
      <c r="KU222" s="14"/>
      <c r="KW222" s="65"/>
      <c r="KX222" s="13"/>
      <c r="KY222" s="14"/>
      <c r="LA222" s="65"/>
      <c r="LB222" s="13"/>
      <c r="LC222" s="14"/>
      <c r="LE222" s="65"/>
      <c r="LF222" s="13"/>
      <c r="LG222" s="14"/>
      <c r="LI222" s="65"/>
      <c r="LJ222" s="13"/>
      <c r="LK222" s="14"/>
      <c r="LM222" s="65"/>
      <c r="LN222" s="13"/>
      <c r="LO222" s="14"/>
      <c r="LQ222" s="65"/>
      <c r="LR222" s="13"/>
      <c r="LS222" s="14"/>
      <c r="LU222" s="65"/>
      <c r="LV222" s="13"/>
      <c r="LW222" s="14"/>
      <c r="LY222" s="65"/>
      <c r="LZ222" s="13"/>
      <c r="MA222" s="14"/>
      <c r="MC222" s="65"/>
      <c r="MD222" s="13"/>
      <c r="ME222" s="14"/>
      <c r="MG222" s="65"/>
      <c r="MH222" s="13"/>
      <c r="MI222" s="14"/>
      <c r="MK222" s="65"/>
      <c r="ML222" s="13"/>
      <c r="MM222" s="14"/>
      <c r="MO222" s="65"/>
      <c r="MP222" s="13"/>
      <c r="MQ222" s="14"/>
      <c r="MS222" s="65"/>
      <c r="MT222" s="13"/>
      <c r="MU222" s="14"/>
    </row>
    <row r="223" spans="1:359" hidden="1" x14ac:dyDescent="0.25">
      <c r="A223" s="15">
        <f t="shared" si="193"/>
        <v>0</v>
      </c>
      <c r="B223" s="20">
        <v>42917</v>
      </c>
      <c r="C223"/>
      <c r="D223" s="12"/>
      <c r="E223" s="12"/>
      <c r="I223" s="12"/>
      <c r="J223" s="12"/>
      <c r="N223" s="12"/>
      <c r="O223" s="12"/>
      <c r="T223" s="15"/>
      <c r="U223" s="20"/>
      <c r="V223" s="36"/>
      <c r="W223" s="12"/>
      <c r="X223" s="12"/>
      <c r="AB223" s="12"/>
      <c r="AC223" s="12"/>
      <c r="AG223" s="12"/>
      <c r="AH223" s="12"/>
      <c r="AK223" s="12"/>
      <c r="AL223" s="13"/>
      <c r="AM223" s="14"/>
      <c r="CK223" s="65"/>
      <c r="CL223" s="13"/>
      <c r="CO223" s="65"/>
      <c r="CP223" s="13"/>
      <c r="CS223" s="65"/>
      <c r="CT223" s="13"/>
      <c r="CW223" s="65"/>
      <c r="CX223" s="13"/>
      <c r="DA223" s="65"/>
      <c r="DB223" s="13"/>
      <c r="DE223" s="65"/>
      <c r="DF223" s="13"/>
      <c r="DI223" s="65"/>
      <c r="DJ223" s="13"/>
      <c r="DM223" s="65"/>
      <c r="DN223" s="13"/>
      <c r="DQ223" s="65"/>
      <c r="DR223" s="13"/>
      <c r="DU223" s="65"/>
      <c r="DV223" s="13"/>
      <c r="DY223" s="65"/>
      <c r="DZ223" s="13"/>
      <c r="EA223" s="14"/>
      <c r="EC223" s="65"/>
      <c r="ED223" s="13"/>
      <c r="EE223" s="14"/>
      <c r="EG223" s="65"/>
      <c r="EH223" s="13"/>
      <c r="EI223" s="14"/>
      <c r="EK223" s="65"/>
      <c r="EL223" s="13"/>
      <c r="EM223" s="14"/>
      <c r="EO223" s="65"/>
      <c r="EP223" s="13"/>
      <c r="EQ223" s="14"/>
      <c r="ES223" s="65"/>
      <c r="ET223" s="13"/>
      <c r="EU223" s="14"/>
      <c r="EW223" s="65"/>
      <c r="EX223" s="13"/>
      <c r="EY223" s="14"/>
      <c r="FA223" s="65"/>
      <c r="FB223" s="13"/>
      <c r="FC223" s="14"/>
      <c r="FE223" s="65"/>
      <c r="FF223" s="13"/>
      <c r="FG223" s="14"/>
      <c r="FI223" s="65"/>
      <c r="FJ223" s="13"/>
      <c r="FK223" s="14"/>
      <c r="FM223" s="65"/>
      <c r="FN223" s="13"/>
      <c r="FO223" s="14"/>
      <c r="FQ223" s="65"/>
      <c r="FR223" s="13"/>
      <c r="FS223" s="14"/>
      <c r="FU223" s="65"/>
      <c r="FV223" s="13"/>
      <c r="FW223" s="14"/>
      <c r="FY223" s="65"/>
      <c r="FZ223" s="13"/>
      <c r="GA223" s="14"/>
      <c r="GC223" s="65"/>
      <c r="GD223" s="13"/>
      <c r="GE223" s="14"/>
      <c r="GG223" s="65"/>
      <c r="GH223" s="13"/>
      <c r="GI223" s="14"/>
      <c r="GK223" s="65"/>
      <c r="GL223" s="13"/>
      <c r="GM223" s="14"/>
      <c r="GO223" s="65"/>
      <c r="GP223" s="13"/>
      <c r="GQ223" s="14"/>
      <c r="GS223" s="65"/>
      <c r="GT223" s="13"/>
      <c r="GU223" s="14"/>
      <c r="GW223" s="65"/>
      <c r="GX223" s="13"/>
      <c r="GY223" s="14"/>
      <c r="HA223" s="65"/>
      <c r="HB223" s="13"/>
      <c r="HC223" s="14"/>
      <c r="HE223" s="65"/>
      <c r="HF223" s="13"/>
      <c r="HG223" s="14"/>
      <c r="HI223" s="65"/>
      <c r="HJ223" s="13"/>
      <c r="HK223" s="14"/>
      <c r="HM223" s="65"/>
      <c r="HN223" s="13"/>
      <c r="HO223" s="14"/>
      <c r="HQ223" s="65"/>
      <c r="HR223" s="13"/>
      <c r="HS223" s="14"/>
      <c r="HU223" s="65"/>
      <c r="HV223" s="13"/>
      <c r="HW223" s="14"/>
      <c r="HY223" s="65"/>
      <c r="HZ223" s="13"/>
      <c r="IA223" s="14"/>
      <c r="IC223" s="65"/>
      <c r="ID223" s="13"/>
      <c r="IE223" s="14"/>
      <c r="IG223" s="65"/>
      <c r="IH223" s="13"/>
      <c r="II223" s="14"/>
      <c r="IK223" s="65"/>
      <c r="IL223" s="13"/>
      <c r="IM223" s="14"/>
      <c r="IO223" s="65"/>
      <c r="IP223" s="13"/>
      <c r="IQ223" s="14"/>
      <c r="IS223" s="65"/>
      <c r="IT223" s="13"/>
      <c r="IU223" s="14"/>
      <c r="IW223" s="65"/>
      <c r="IX223" s="13"/>
      <c r="IY223" s="14"/>
      <c r="JA223" s="65"/>
      <c r="JB223" s="13"/>
      <c r="JC223" s="14"/>
      <c r="JE223" s="65"/>
      <c r="JF223" s="13"/>
      <c r="JG223" s="14"/>
      <c r="JI223" s="65"/>
      <c r="JJ223" s="13"/>
      <c r="JK223" s="14"/>
      <c r="JM223" s="65"/>
      <c r="JN223" s="13"/>
      <c r="JO223" s="14"/>
      <c r="JQ223" s="65"/>
      <c r="JR223" s="13"/>
      <c r="JS223" s="14"/>
      <c r="JU223" s="65"/>
      <c r="JV223" s="13"/>
      <c r="JW223" s="14"/>
      <c r="JY223" s="65"/>
      <c r="JZ223" s="13"/>
      <c r="KA223" s="14"/>
      <c r="KC223" s="65"/>
      <c r="KD223" s="13"/>
      <c r="KE223" s="14"/>
      <c r="KG223" s="65"/>
      <c r="KH223" s="13"/>
      <c r="KI223" s="14"/>
      <c r="KK223" s="65"/>
      <c r="KL223" s="13"/>
      <c r="KM223" s="14"/>
      <c r="KO223" s="65"/>
      <c r="KP223" s="13"/>
      <c r="KQ223" s="14"/>
      <c r="KS223" s="65"/>
      <c r="KT223" s="13"/>
      <c r="KU223" s="14"/>
      <c r="KW223" s="65"/>
      <c r="KX223" s="13"/>
      <c r="KY223" s="14"/>
      <c r="LA223" s="65"/>
      <c r="LB223" s="13"/>
      <c r="LC223" s="14"/>
      <c r="LE223" s="65"/>
      <c r="LF223" s="13"/>
      <c r="LG223" s="14"/>
      <c r="LI223" s="65"/>
      <c r="LJ223" s="13"/>
      <c r="LK223" s="14"/>
      <c r="LM223" s="65"/>
      <c r="LN223" s="13"/>
      <c r="LO223" s="14"/>
      <c r="LQ223" s="65"/>
      <c r="LR223" s="13"/>
      <c r="LS223" s="14"/>
      <c r="LU223" s="65"/>
      <c r="LV223" s="13"/>
      <c r="LW223" s="14"/>
      <c r="LY223" s="65"/>
      <c r="LZ223" s="13"/>
      <c r="MA223" s="14"/>
      <c r="MC223" s="65"/>
      <c r="MD223" s="13"/>
      <c r="ME223" s="14"/>
      <c r="MG223" s="65"/>
      <c r="MH223" s="13"/>
      <c r="MI223" s="14"/>
      <c r="MK223" s="65"/>
      <c r="ML223" s="13"/>
      <c r="MM223" s="14"/>
      <c r="MO223" s="65"/>
      <c r="MP223" s="13"/>
      <c r="MQ223" s="14"/>
      <c r="MS223" s="65"/>
      <c r="MT223" s="13"/>
      <c r="MU223" s="14"/>
    </row>
    <row r="224" spans="1:359" hidden="1" x14ac:dyDescent="0.25">
      <c r="A224" s="15">
        <f t="shared" si="193"/>
        <v>0</v>
      </c>
      <c r="B224" s="20">
        <v>42918</v>
      </c>
      <c r="C224"/>
      <c r="D224" s="12"/>
      <c r="E224" s="12"/>
      <c r="I224" s="12"/>
      <c r="J224" s="12"/>
      <c r="N224" s="12"/>
      <c r="O224" s="12"/>
      <c r="T224" s="15"/>
      <c r="U224" s="20"/>
      <c r="V224" s="36"/>
      <c r="W224" s="12"/>
      <c r="X224" s="12"/>
      <c r="AB224" s="12"/>
      <c r="AC224" s="12"/>
      <c r="AG224" s="12"/>
      <c r="AH224" s="12"/>
      <c r="AK224" s="12"/>
      <c r="AL224" s="13"/>
      <c r="AM224" s="14"/>
      <c r="CK224" s="65"/>
      <c r="CL224" s="13"/>
      <c r="CO224" s="65"/>
      <c r="CP224" s="13"/>
      <c r="CS224" s="65"/>
      <c r="CT224" s="13"/>
      <c r="CW224" s="65"/>
      <c r="CX224" s="13"/>
      <c r="DA224" s="65"/>
      <c r="DB224" s="13"/>
      <c r="DE224" s="65"/>
      <c r="DF224" s="13"/>
      <c r="DI224" s="65"/>
      <c r="DJ224" s="13"/>
      <c r="DM224" s="65"/>
      <c r="DN224" s="13"/>
      <c r="DQ224" s="65"/>
      <c r="DR224" s="13"/>
      <c r="DU224" s="65"/>
      <c r="DV224" s="13"/>
      <c r="DY224" s="65"/>
      <c r="DZ224" s="13"/>
      <c r="EA224" s="14"/>
      <c r="EC224" s="65"/>
      <c r="ED224" s="13"/>
      <c r="EE224" s="14"/>
      <c r="EG224" s="65"/>
      <c r="EH224" s="13"/>
      <c r="EI224" s="14"/>
      <c r="EK224" s="65"/>
      <c r="EL224" s="13"/>
      <c r="EM224" s="14"/>
      <c r="EO224" s="65"/>
      <c r="EP224" s="13"/>
      <c r="EQ224" s="14"/>
      <c r="ES224" s="65"/>
      <c r="ET224" s="13"/>
      <c r="EU224" s="14"/>
      <c r="EW224" s="65"/>
      <c r="EX224" s="13"/>
      <c r="EY224" s="14"/>
      <c r="FA224" s="65"/>
      <c r="FB224" s="13"/>
      <c r="FC224" s="14"/>
      <c r="FE224" s="65"/>
      <c r="FF224" s="13"/>
      <c r="FG224" s="14"/>
      <c r="FI224" s="65"/>
      <c r="FJ224" s="13"/>
      <c r="FK224" s="14"/>
      <c r="FM224" s="65"/>
      <c r="FN224" s="13"/>
      <c r="FO224" s="14"/>
      <c r="FQ224" s="65"/>
      <c r="FR224" s="13"/>
      <c r="FS224" s="14"/>
      <c r="FU224" s="65"/>
      <c r="FV224" s="13"/>
      <c r="FW224" s="14"/>
      <c r="FY224" s="65"/>
      <c r="FZ224" s="13"/>
      <c r="GA224" s="14"/>
      <c r="GC224" s="65"/>
      <c r="GD224" s="13"/>
      <c r="GE224" s="14"/>
      <c r="GG224" s="65"/>
      <c r="GH224" s="13"/>
      <c r="GI224" s="14"/>
      <c r="GK224" s="65"/>
      <c r="GL224" s="13"/>
      <c r="GM224" s="14"/>
      <c r="GO224" s="65"/>
      <c r="GP224" s="13"/>
      <c r="GQ224" s="14"/>
      <c r="GS224" s="65"/>
      <c r="GT224" s="13"/>
      <c r="GU224" s="14"/>
      <c r="GW224" s="65"/>
      <c r="GX224" s="13"/>
      <c r="GY224" s="14"/>
      <c r="HA224" s="65"/>
      <c r="HB224" s="13"/>
      <c r="HC224" s="14"/>
      <c r="HE224" s="65"/>
      <c r="HF224" s="13"/>
      <c r="HG224" s="14"/>
      <c r="HI224" s="65"/>
      <c r="HJ224" s="13"/>
      <c r="HK224" s="14"/>
      <c r="HM224" s="65"/>
      <c r="HN224" s="13"/>
      <c r="HO224" s="14"/>
      <c r="HQ224" s="65"/>
      <c r="HR224" s="13"/>
      <c r="HS224" s="14"/>
      <c r="HU224" s="65"/>
      <c r="HV224" s="13"/>
      <c r="HW224" s="14"/>
      <c r="HY224" s="65"/>
      <c r="HZ224" s="13"/>
      <c r="IA224" s="14"/>
      <c r="IC224" s="65"/>
      <c r="ID224" s="13"/>
      <c r="IE224" s="14"/>
      <c r="IG224" s="65"/>
      <c r="IH224" s="13"/>
      <c r="II224" s="14"/>
      <c r="IK224" s="65"/>
      <c r="IL224" s="13"/>
      <c r="IM224" s="14"/>
      <c r="IO224" s="65"/>
      <c r="IP224" s="13"/>
      <c r="IQ224" s="14"/>
      <c r="IS224" s="65"/>
      <c r="IT224" s="13"/>
      <c r="IU224" s="14"/>
      <c r="IW224" s="65"/>
      <c r="IX224" s="13"/>
      <c r="IY224" s="14"/>
      <c r="JA224" s="65"/>
      <c r="JB224" s="13"/>
      <c r="JC224" s="14"/>
      <c r="JE224" s="65"/>
      <c r="JF224" s="13"/>
      <c r="JG224" s="14"/>
      <c r="JI224" s="65"/>
      <c r="JJ224" s="13"/>
      <c r="JK224" s="14"/>
      <c r="JM224" s="65"/>
      <c r="JN224" s="13"/>
      <c r="JO224" s="14"/>
      <c r="JQ224" s="65"/>
      <c r="JR224" s="13"/>
      <c r="JS224" s="14"/>
      <c r="JU224" s="65"/>
      <c r="JV224" s="13"/>
      <c r="JW224" s="14"/>
      <c r="JY224" s="65"/>
      <c r="JZ224" s="13"/>
      <c r="KA224" s="14"/>
      <c r="KC224" s="65"/>
      <c r="KD224" s="13"/>
      <c r="KE224" s="14"/>
      <c r="KG224" s="65"/>
      <c r="KH224" s="13"/>
      <c r="KI224" s="14"/>
      <c r="KK224" s="65"/>
      <c r="KL224" s="13"/>
      <c r="KM224" s="14"/>
      <c r="KO224" s="65"/>
      <c r="KP224" s="13"/>
      <c r="KQ224" s="14"/>
      <c r="KS224" s="65"/>
      <c r="KT224" s="13"/>
      <c r="KU224" s="14"/>
      <c r="KW224" s="65"/>
      <c r="KX224" s="13"/>
      <c r="KY224" s="14"/>
      <c r="LA224" s="65"/>
      <c r="LB224" s="13"/>
      <c r="LC224" s="14"/>
      <c r="LE224" s="65"/>
      <c r="LF224" s="13"/>
      <c r="LG224" s="14"/>
      <c r="LI224" s="65"/>
      <c r="LJ224" s="13"/>
      <c r="LK224" s="14"/>
      <c r="LM224" s="65"/>
      <c r="LN224" s="13"/>
      <c r="LO224" s="14"/>
      <c r="LQ224" s="65"/>
      <c r="LR224" s="13"/>
      <c r="LS224" s="14"/>
      <c r="LU224" s="65"/>
      <c r="LV224" s="13"/>
      <c r="LW224" s="14"/>
      <c r="LY224" s="65"/>
      <c r="LZ224" s="13"/>
      <c r="MA224" s="14"/>
      <c r="MC224" s="65"/>
      <c r="MD224" s="13"/>
      <c r="ME224" s="14"/>
      <c r="MG224" s="65"/>
      <c r="MH224" s="13"/>
      <c r="MI224" s="14"/>
      <c r="MK224" s="65"/>
      <c r="ML224" s="13"/>
      <c r="MM224" s="14"/>
      <c r="MO224" s="65"/>
      <c r="MP224" s="13"/>
      <c r="MQ224" s="14"/>
      <c r="MS224" s="65"/>
      <c r="MT224" s="13"/>
      <c r="MU224" s="14"/>
    </row>
    <row r="225" spans="1:359" hidden="1" x14ac:dyDescent="0.25">
      <c r="A225" s="15">
        <f t="shared" si="193"/>
        <v>0</v>
      </c>
      <c r="B225" s="20">
        <v>42919</v>
      </c>
      <c r="C225"/>
      <c r="D225" s="12"/>
      <c r="E225" s="12"/>
      <c r="I225" s="12"/>
      <c r="J225" s="12"/>
      <c r="N225" s="12"/>
      <c r="O225" s="12"/>
      <c r="T225" s="15"/>
      <c r="U225" s="20"/>
      <c r="V225" s="36"/>
      <c r="W225" s="12"/>
      <c r="X225" s="12"/>
      <c r="AB225" s="12"/>
      <c r="AC225" s="12"/>
      <c r="AG225" s="12"/>
      <c r="AH225" s="12"/>
      <c r="AK225" s="12"/>
      <c r="AL225" s="13"/>
      <c r="AM225" s="14"/>
      <c r="CK225" s="65"/>
      <c r="CL225" s="13"/>
      <c r="CO225" s="65"/>
      <c r="CP225" s="13"/>
      <c r="CS225" s="65"/>
      <c r="CT225" s="13"/>
      <c r="CW225" s="65"/>
      <c r="CX225" s="13"/>
      <c r="DA225" s="65"/>
      <c r="DB225" s="13"/>
      <c r="DE225" s="65"/>
      <c r="DF225" s="13"/>
      <c r="DI225" s="65"/>
      <c r="DJ225" s="13"/>
      <c r="DM225" s="65"/>
      <c r="DN225" s="13"/>
      <c r="DQ225" s="65"/>
      <c r="DR225" s="13"/>
      <c r="DU225" s="65"/>
      <c r="DV225" s="13"/>
      <c r="DY225" s="65"/>
      <c r="DZ225" s="13"/>
      <c r="EA225" s="14"/>
      <c r="EC225" s="65"/>
      <c r="ED225" s="13"/>
      <c r="EE225" s="14"/>
      <c r="EG225" s="65"/>
      <c r="EH225" s="13"/>
      <c r="EI225" s="14"/>
      <c r="EK225" s="65"/>
      <c r="EL225" s="13"/>
      <c r="EM225" s="14"/>
      <c r="EO225" s="65"/>
      <c r="EP225" s="13"/>
      <c r="EQ225" s="14"/>
      <c r="ES225" s="65"/>
      <c r="ET225" s="13"/>
      <c r="EU225" s="14"/>
      <c r="EW225" s="65"/>
      <c r="EX225" s="13"/>
      <c r="EY225" s="14"/>
      <c r="FA225" s="65"/>
      <c r="FB225" s="13"/>
      <c r="FC225" s="14"/>
      <c r="FE225" s="65"/>
      <c r="FF225" s="13"/>
      <c r="FG225" s="14"/>
      <c r="FI225" s="65"/>
      <c r="FJ225" s="13"/>
      <c r="FK225" s="14"/>
      <c r="FM225" s="65"/>
      <c r="FN225" s="13"/>
      <c r="FO225" s="14"/>
      <c r="FQ225" s="65"/>
      <c r="FR225" s="13"/>
      <c r="FS225" s="14"/>
      <c r="FU225" s="65"/>
      <c r="FV225" s="13"/>
      <c r="FW225" s="14"/>
      <c r="FY225" s="65"/>
      <c r="FZ225" s="13"/>
      <c r="GA225" s="14"/>
      <c r="GC225" s="65"/>
      <c r="GD225" s="13"/>
      <c r="GE225" s="14"/>
      <c r="GG225" s="65"/>
      <c r="GH225" s="13"/>
      <c r="GI225" s="14"/>
      <c r="GK225" s="65"/>
      <c r="GL225" s="13"/>
      <c r="GM225" s="14"/>
      <c r="GO225" s="65"/>
      <c r="GP225" s="13"/>
      <c r="GQ225" s="14"/>
      <c r="GS225" s="65"/>
      <c r="GT225" s="13"/>
      <c r="GU225" s="14"/>
      <c r="GW225" s="65"/>
      <c r="GX225" s="13"/>
      <c r="GY225" s="14"/>
      <c r="HA225" s="65"/>
      <c r="HB225" s="13"/>
      <c r="HC225" s="14"/>
      <c r="HE225" s="65"/>
      <c r="HF225" s="13"/>
      <c r="HG225" s="14"/>
      <c r="HI225" s="65"/>
      <c r="HJ225" s="13"/>
      <c r="HK225" s="14"/>
      <c r="HM225" s="65"/>
      <c r="HN225" s="13"/>
      <c r="HO225" s="14"/>
      <c r="HQ225" s="65"/>
      <c r="HR225" s="13"/>
      <c r="HS225" s="14"/>
      <c r="HU225" s="65"/>
      <c r="HV225" s="13"/>
      <c r="HW225" s="14"/>
      <c r="HY225" s="65"/>
      <c r="HZ225" s="13"/>
      <c r="IA225" s="14"/>
      <c r="IC225" s="65"/>
      <c r="ID225" s="13"/>
      <c r="IE225" s="14"/>
      <c r="IG225" s="65"/>
      <c r="IH225" s="13"/>
      <c r="II225" s="14"/>
      <c r="IK225" s="65"/>
      <c r="IL225" s="13"/>
      <c r="IM225" s="14"/>
      <c r="IO225" s="65"/>
      <c r="IP225" s="13"/>
      <c r="IQ225" s="14"/>
      <c r="IS225" s="65"/>
      <c r="IT225" s="13"/>
      <c r="IU225" s="14"/>
      <c r="IW225" s="65"/>
      <c r="IX225" s="13"/>
      <c r="IY225" s="14"/>
      <c r="JA225" s="65"/>
      <c r="JB225" s="13"/>
      <c r="JC225" s="14"/>
      <c r="JE225" s="65"/>
      <c r="JF225" s="13"/>
      <c r="JG225" s="14"/>
      <c r="JI225" s="65"/>
      <c r="JJ225" s="13"/>
      <c r="JK225" s="14"/>
      <c r="JM225" s="65"/>
      <c r="JN225" s="13"/>
      <c r="JO225" s="14"/>
      <c r="JQ225" s="65"/>
      <c r="JR225" s="13"/>
      <c r="JS225" s="14"/>
      <c r="JU225" s="65"/>
      <c r="JV225" s="13"/>
      <c r="JW225" s="14"/>
      <c r="JY225" s="65"/>
      <c r="JZ225" s="13"/>
      <c r="KA225" s="14"/>
      <c r="KC225" s="65"/>
      <c r="KD225" s="13"/>
      <c r="KE225" s="14"/>
      <c r="KG225" s="65"/>
      <c r="KH225" s="13"/>
      <c r="KI225" s="14"/>
      <c r="KK225" s="65"/>
      <c r="KL225" s="13"/>
      <c r="KM225" s="14"/>
      <c r="KO225" s="65"/>
      <c r="KP225" s="13"/>
      <c r="KQ225" s="14"/>
      <c r="KS225" s="65"/>
      <c r="KT225" s="13"/>
      <c r="KU225" s="14"/>
      <c r="KW225" s="65"/>
      <c r="KX225" s="13"/>
      <c r="KY225" s="14"/>
      <c r="LA225" s="65"/>
      <c r="LB225" s="13"/>
      <c r="LC225" s="14"/>
      <c r="LE225" s="65"/>
      <c r="LF225" s="13"/>
      <c r="LG225" s="14"/>
      <c r="LI225" s="65"/>
      <c r="LJ225" s="13"/>
      <c r="LK225" s="14"/>
      <c r="LM225" s="65"/>
      <c r="LN225" s="13"/>
      <c r="LO225" s="14"/>
      <c r="LQ225" s="65"/>
      <c r="LR225" s="13"/>
      <c r="LS225" s="14"/>
      <c r="LU225" s="65"/>
      <c r="LV225" s="13"/>
      <c r="LW225" s="14"/>
      <c r="LY225" s="65"/>
      <c r="LZ225" s="13"/>
      <c r="MA225" s="14"/>
      <c r="MC225" s="65"/>
      <c r="MD225" s="13"/>
      <c r="ME225" s="14"/>
      <c r="MG225" s="65"/>
      <c r="MH225" s="13"/>
      <c r="MI225" s="14"/>
      <c r="MK225" s="65"/>
      <c r="ML225" s="13"/>
      <c r="MM225" s="14"/>
      <c r="MO225" s="65"/>
      <c r="MP225" s="13"/>
      <c r="MQ225" s="14"/>
      <c r="MS225" s="65"/>
      <c r="MT225" s="13"/>
      <c r="MU225" s="14"/>
    </row>
    <row r="226" spans="1:359" hidden="1" x14ac:dyDescent="0.25">
      <c r="A226" s="15">
        <f t="shared" si="193"/>
        <v>0</v>
      </c>
      <c r="B226" s="20">
        <v>42920</v>
      </c>
      <c r="C226"/>
      <c r="D226" s="12"/>
      <c r="E226" s="12"/>
      <c r="I226" s="12"/>
      <c r="J226" s="12"/>
      <c r="N226" s="12"/>
      <c r="O226" s="12"/>
      <c r="T226" s="15"/>
      <c r="U226" s="20"/>
      <c r="V226" s="36"/>
      <c r="W226" s="12"/>
      <c r="X226" s="12"/>
      <c r="AB226" s="12"/>
      <c r="AC226" s="12"/>
      <c r="AG226" s="12"/>
      <c r="AH226" s="12"/>
      <c r="AK226" s="12"/>
      <c r="AL226" s="13"/>
      <c r="AM226" s="14"/>
      <c r="CK226" s="65"/>
      <c r="CL226" s="13"/>
      <c r="CO226" s="65"/>
      <c r="CP226" s="13"/>
      <c r="CS226" s="65"/>
      <c r="CT226" s="13"/>
      <c r="CW226" s="65"/>
      <c r="CX226" s="13"/>
      <c r="DA226" s="65"/>
      <c r="DB226" s="13"/>
      <c r="DE226" s="65"/>
      <c r="DF226" s="13"/>
      <c r="DI226" s="65"/>
      <c r="DJ226" s="13"/>
      <c r="DM226" s="65"/>
      <c r="DN226" s="13"/>
      <c r="DQ226" s="65"/>
      <c r="DR226" s="13"/>
      <c r="DU226" s="65"/>
      <c r="DV226" s="13"/>
      <c r="DY226" s="65"/>
      <c r="DZ226" s="13"/>
      <c r="EA226" s="14"/>
      <c r="EC226" s="65"/>
      <c r="ED226" s="13"/>
      <c r="EE226" s="14"/>
      <c r="EG226" s="65"/>
      <c r="EH226" s="13"/>
      <c r="EI226" s="14"/>
      <c r="EK226" s="65"/>
      <c r="EL226" s="13"/>
      <c r="EM226" s="14"/>
      <c r="EO226" s="65"/>
      <c r="EP226" s="13"/>
      <c r="EQ226" s="14"/>
      <c r="ES226" s="65"/>
      <c r="ET226" s="13"/>
      <c r="EU226" s="14"/>
      <c r="EW226" s="65"/>
      <c r="EX226" s="13"/>
      <c r="EY226" s="14"/>
      <c r="FA226" s="65"/>
      <c r="FB226" s="13"/>
      <c r="FC226" s="14"/>
      <c r="FE226" s="65"/>
      <c r="FF226" s="13"/>
      <c r="FG226" s="14"/>
      <c r="FI226" s="65"/>
      <c r="FJ226" s="13"/>
      <c r="FK226" s="14"/>
      <c r="FM226" s="65"/>
      <c r="FN226" s="13"/>
      <c r="FO226" s="14"/>
      <c r="FQ226" s="65"/>
      <c r="FR226" s="13"/>
      <c r="FS226" s="14"/>
      <c r="FU226" s="65"/>
      <c r="FV226" s="13"/>
      <c r="FW226" s="14"/>
      <c r="FY226" s="65"/>
      <c r="FZ226" s="13"/>
      <c r="GA226" s="14"/>
      <c r="GC226" s="65"/>
      <c r="GD226" s="13"/>
      <c r="GE226" s="14"/>
      <c r="GG226" s="65"/>
      <c r="GH226" s="13"/>
      <c r="GI226" s="14"/>
      <c r="GK226" s="65"/>
      <c r="GL226" s="13"/>
      <c r="GM226" s="14"/>
      <c r="GO226" s="65"/>
      <c r="GP226" s="13"/>
      <c r="GQ226" s="14"/>
      <c r="GS226" s="65"/>
      <c r="GT226" s="13"/>
      <c r="GU226" s="14"/>
      <c r="GW226" s="65"/>
      <c r="GX226" s="13"/>
      <c r="GY226" s="14"/>
      <c r="HA226" s="65"/>
      <c r="HB226" s="13"/>
      <c r="HC226" s="14"/>
      <c r="HE226" s="65"/>
      <c r="HF226" s="13"/>
      <c r="HG226" s="14"/>
      <c r="HI226" s="65"/>
      <c r="HJ226" s="13"/>
      <c r="HK226" s="14"/>
      <c r="HM226" s="65"/>
      <c r="HN226" s="13"/>
      <c r="HO226" s="14"/>
      <c r="HQ226" s="65"/>
      <c r="HR226" s="13"/>
      <c r="HS226" s="14"/>
      <c r="HU226" s="65"/>
      <c r="HV226" s="13"/>
      <c r="HW226" s="14"/>
      <c r="HY226" s="65"/>
      <c r="HZ226" s="13"/>
      <c r="IA226" s="14"/>
      <c r="IC226" s="65"/>
      <c r="ID226" s="13"/>
      <c r="IE226" s="14"/>
      <c r="IG226" s="65"/>
      <c r="IH226" s="13"/>
      <c r="II226" s="14"/>
      <c r="IK226" s="65"/>
      <c r="IL226" s="13"/>
      <c r="IM226" s="14"/>
      <c r="IO226" s="65"/>
      <c r="IP226" s="13"/>
      <c r="IQ226" s="14"/>
      <c r="IS226" s="65"/>
      <c r="IT226" s="13"/>
      <c r="IU226" s="14"/>
      <c r="IW226" s="65"/>
      <c r="IX226" s="13"/>
      <c r="IY226" s="14"/>
      <c r="JA226" s="65"/>
      <c r="JB226" s="13"/>
      <c r="JC226" s="14"/>
      <c r="JE226" s="65"/>
      <c r="JF226" s="13"/>
      <c r="JG226" s="14"/>
      <c r="JI226" s="65"/>
      <c r="JJ226" s="13"/>
      <c r="JK226" s="14"/>
      <c r="JM226" s="65"/>
      <c r="JN226" s="13"/>
      <c r="JO226" s="14"/>
      <c r="JQ226" s="65"/>
      <c r="JR226" s="13"/>
      <c r="JS226" s="14"/>
      <c r="JU226" s="65"/>
      <c r="JV226" s="13"/>
      <c r="JW226" s="14"/>
      <c r="JY226" s="65"/>
      <c r="JZ226" s="13"/>
      <c r="KA226" s="14"/>
      <c r="KC226" s="65"/>
      <c r="KD226" s="13"/>
      <c r="KE226" s="14"/>
      <c r="KG226" s="65"/>
      <c r="KH226" s="13"/>
      <c r="KI226" s="14"/>
      <c r="KK226" s="65"/>
      <c r="KL226" s="13"/>
      <c r="KM226" s="14"/>
      <c r="KO226" s="65"/>
      <c r="KP226" s="13"/>
      <c r="KQ226" s="14"/>
      <c r="KS226" s="65"/>
      <c r="KT226" s="13"/>
      <c r="KU226" s="14"/>
      <c r="KW226" s="65"/>
      <c r="KX226" s="13"/>
      <c r="KY226" s="14"/>
      <c r="LA226" s="65"/>
      <c r="LB226" s="13"/>
      <c r="LC226" s="14"/>
      <c r="LE226" s="65"/>
      <c r="LF226" s="13"/>
      <c r="LG226" s="14"/>
      <c r="LI226" s="65"/>
      <c r="LJ226" s="13"/>
      <c r="LK226" s="14"/>
      <c r="LM226" s="65"/>
      <c r="LN226" s="13"/>
      <c r="LO226" s="14"/>
      <c r="LQ226" s="65"/>
      <c r="LR226" s="13"/>
      <c r="LS226" s="14"/>
      <c r="LU226" s="65"/>
      <c r="LV226" s="13"/>
      <c r="LW226" s="14"/>
      <c r="LY226" s="65"/>
      <c r="LZ226" s="13"/>
      <c r="MA226" s="14"/>
      <c r="MC226" s="65"/>
      <c r="MD226" s="13"/>
      <c r="ME226" s="14"/>
      <c r="MG226" s="65"/>
      <c r="MH226" s="13"/>
      <c r="MI226" s="14"/>
      <c r="MK226" s="65"/>
      <c r="ML226" s="13"/>
      <c r="MM226" s="14"/>
      <c r="MO226" s="65"/>
      <c r="MP226" s="13"/>
      <c r="MQ226" s="14"/>
      <c r="MS226" s="65"/>
      <c r="MT226" s="13"/>
      <c r="MU226" s="14"/>
    </row>
    <row r="227" spans="1:359" hidden="1" x14ac:dyDescent="0.25">
      <c r="A227" s="15">
        <f t="shared" si="193"/>
        <v>0</v>
      </c>
      <c r="B227" s="20">
        <v>42921</v>
      </c>
      <c r="C227"/>
      <c r="D227" s="12"/>
      <c r="E227" s="12"/>
      <c r="I227" s="12"/>
      <c r="J227" s="12"/>
      <c r="N227" s="12"/>
      <c r="O227" s="12"/>
      <c r="T227" s="15"/>
      <c r="U227" s="20"/>
      <c r="V227" s="36"/>
      <c r="W227" s="12"/>
      <c r="X227" s="12"/>
      <c r="AB227" s="12"/>
      <c r="AC227" s="12"/>
      <c r="AG227" s="12"/>
      <c r="AH227" s="12"/>
      <c r="AK227" s="12"/>
      <c r="AL227" s="13"/>
      <c r="AM227" s="14"/>
      <c r="CK227" s="65"/>
      <c r="CL227" s="13"/>
      <c r="CO227" s="65"/>
      <c r="CP227" s="13"/>
      <c r="CS227" s="65"/>
      <c r="CT227" s="13"/>
      <c r="CW227" s="65"/>
      <c r="CX227" s="13"/>
      <c r="DA227" s="65"/>
      <c r="DB227" s="13"/>
      <c r="DE227" s="65"/>
      <c r="DF227" s="13"/>
      <c r="DI227" s="65"/>
      <c r="DJ227" s="13"/>
      <c r="DM227" s="65"/>
      <c r="DN227" s="13"/>
      <c r="DQ227" s="65"/>
      <c r="DR227" s="13"/>
      <c r="DU227" s="65"/>
      <c r="DV227" s="13"/>
      <c r="DY227" s="65"/>
      <c r="DZ227" s="13"/>
      <c r="EA227" s="14"/>
      <c r="EC227" s="65"/>
      <c r="ED227" s="13"/>
      <c r="EE227" s="14"/>
      <c r="EG227" s="65"/>
      <c r="EH227" s="13"/>
      <c r="EI227" s="14"/>
      <c r="EK227" s="65"/>
      <c r="EL227" s="13"/>
      <c r="EM227" s="14"/>
      <c r="EO227" s="65"/>
      <c r="EP227" s="13"/>
      <c r="EQ227" s="14"/>
      <c r="ES227" s="65"/>
      <c r="ET227" s="13"/>
      <c r="EU227" s="14"/>
      <c r="EW227" s="65"/>
      <c r="EX227" s="13"/>
      <c r="EY227" s="14"/>
      <c r="FA227" s="65"/>
      <c r="FB227" s="13"/>
      <c r="FC227" s="14"/>
      <c r="FE227" s="65"/>
      <c r="FF227" s="13"/>
      <c r="FG227" s="14"/>
      <c r="FI227" s="65"/>
      <c r="FJ227" s="13"/>
      <c r="FK227" s="14"/>
      <c r="FM227" s="65"/>
      <c r="FN227" s="13"/>
      <c r="FO227" s="14"/>
      <c r="FQ227" s="65"/>
      <c r="FR227" s="13"/>
      <c r="FS227" s="14"/>
      <c r="FU227" s="65"/>
      <c r="FV227" s="13"/>
      <c r="FW227" s="14"/>
      <c r="FY227" s="65"/>
      <c r="FZ227" s="13"/>
      <c r="GA227" s="14"/>
      <c r="GC227" s="65"/>
      <c r="GD227" s="13"/>
      <c r="GE227" s="14"/>
      <c r="GG227" s="65"/>
      <c r="GH227" s="13"/>
      <c r="GI227" s="14"/>
      <c r="GK227" s="65"/>
      <c r="GL227" s="13"/>
      <c r="GM227" s="14"/>
      <c r="GO227" s="65"/>
      <c r="GP227" s="13"/>
      <c r="GQ227" s="14"/>
      <c r="GS227" s="65"/>
      <c r="GT227" s="13"/>
      <c r="GU227" s="14"/>
      <c r="GW227" s="65"/>
      <c r="GX227" s="13"/>
      <c r="GY227" s="14"/>
      <c r="HA227" s="65"/>
      <c r="HB227" s="13"/>
      <c r="HC227" s="14"/>
      <c r="HE227" s="65"/>
      <c r="HF227" s="13"/>
      <c r="HG227" s="14"/>
      <c r="HI227" s="65"/>
      <c r="HJ227" s="13"/>
      <c r="HK227" s="14"/>
      <c r="HM227" s="65"/>
      <c r="HN227" s="13"/>
      <c r="HO227" s="14"/>
      <c r="HQ227" s="65"/>
      <c r="HR227" s="13"/>
      <c r="HS227" s="14"/>
      <c r="HU227" s="65"/>
      <c r="HV227" s="13"/>
      <c r="HW227" s="14"/>
      <c r="HY227" s="65"/>
      <c r="HZ227" s="13"/>
      <c r="IA227" s="14"/>
      <c r="IC227" s="65"/>
      <c r="ID227" s="13"/>
      <c r="IE227" s="14"/>
      <c r="IG227" s="65"/>
      <c r="IH227" s="13"/>
      <c r="II227" s="14"/>
      <c r="IK227" s="65"/>
      <c r="IL227" s="13"/>
      <c r="IM227" s="14"/>
      <c r="IO227" s="65"/>
      <c r="IP227" s="13"/>
      <c r="IQ227" s="14"/>
      <c r="IS227" s="65"/>
      <c r="IT227" s="13"/>
      <c r="IU227" s="14"/>
      <c r="IW227" s="65"/>
      <c r="IX227" s="13"/>
      <c r="IY227" s="14"/>
      <c r="JA227" s="65"/>
      <c r="JB227" s="13"/>
      <c r="JC227" s="14"/>
      <c r="JE227" s="65"/>
      <c r="JF227" s="13"/>
      <c r="JG227" s="14"/>
      <c r="JI227" s="65"/>
      <c r="JJ227" s="13"/>
      <c r="JK227" s="14"/>
      <c r="JM227" s="65"/>
      <c r="JN227" s="13"/>
      <c r="JO227" s="14"/>
      <c r="JQ227" s="65"/>
      <c r="JR227" s="13"/>
      <c r="JS227" s="14"/>
      <c r="JU227" s="65"/>
      <c r="JV227" s="13"/>
      <c r="JW227" s="14"/>
      <c r="JY227" s="65"/>
      <c r="JZ227" s="13"/>
      <c r="KA227" s="14"/>
      <c r="KC227" s="65"/>
      <c r="KD227" s="13"/>
      <c r="KE227" s="14"/>
      <c r="KG227" s="65"/>
      <c r="KH227" s="13"/>
      <c r="KI227" s="14"/>
      <c r="KK227" s="65"/>
      <c r="KL227" s="13"/>
      <c r="KM227" s="14"/>
      <c r="KO227" s="65"/>
      <c r="KP227" s="13"/>
      <c r="KQ227" s="14"/>
      <c r="KS227" s="65"/>
      <c r="KT227" s="13"/>
      <c r="KU227" s="14"/>
      <c r="KW227" s="65"/>
      <c r="KX227" s="13"/>
      <c r="KY227" s="14"/>
      <c r="LA227" s="65"/>
      <c r="LB227" s="13"/>
      <c r="LC227" s="14"/>
      <c r="LE227" s="65"/>
      <c r="LF227" s="13"/>
      <c r="LG227" s="14"/>
      <c r="LI227" s="65"/>
      <c r="LJ227" s="13"/>
      <c r="LK227" s="14"/>
      <c r="LM227" s="65"/>
      <c r="LN227" s="13"/>
      <c r="LO227" s="14"/>
      <c r="LQ227" s="65"/>
      <c r="LR227" s="13"/>
      <c r="LS227" s="14"/>
      <c r="LU227" s="65"/>
      <c r="LV227" s="13"/>
      <c r="LW227" s="14"/>
      <c r="LY227" s="65"/>
      <c r="LZ227" s="13"/>
      <c r="MA227" s="14"/>
      <c r="MC227" s="65"/>
      <c r="MD227" s="13"/>
      <c r="ME227" s="14"/>
      <c r="MG227" s="65"/>
      <c r="MH227" s="13"/>
      <c r="MI227" s="14"/>
      <c r="MK227" s="65"/>
      <c r="ML227" s="13"/>
      <c r="MM227" s="14"/>
      <c r="MO227" s="65"/>
      <c r="MP227" s="13"/>
      <c r="MQ227" s="14"/>
      <c r="MS227" s="65"/>
      <c r="MT227" s="13"/>
      <c r="MU227" s="14"/>
    </row>
    <row r="228" spans="1:359" hidden="1" x14ac:dyDescent="0.25">
      <c r="A228" s="15">
        <f t="shared" si="193"/>
        <v>0</v>
      </c>
      <c r="B228" s="20">
        <v>42922</v>
      </c>
      <c r="C228"/>
      <c r="D228" s="12"/>
      <c r="E228" s="12"/>
      <c r="I228" s="12"/>
      <c r="J228" s="12"/>
      <c r="N228" s="12"/>
      <c r="O228" s="12"/>
      <c r="T228" s="15"/>
      <c r="U228" s="20"/>
      <c r="V228" s="36"/>
      <c r="W228" s="12"/>
      <c r="X228" s="12"/>
      <c r="AB228" s="12"/>
      <c r="AC228" s="12"/>
      <c r="AG228" s="12"/>
      <c r="AH228" s="12"/>
      <c r="AK228" s="12"/>
      <c r="AL228" s="13"/>
      <c r="AM228" s="14"/>
      <c r="CK228" s="65"/>
      <c r="CL228" s="13"/>
      <c r="CO228" s="65"/>
      <c r="CP228" s="13"/>
      <c r="CS228" s="65"/>
      <c r="CT228" s="13"/>
      <c r="CW228" s="65"/>
      <c r="CX228" s="13"/>
      <c r="DA228" s="65"/>
      <c r="DB228" s="13"/>
      <c r="DE228" s="65"/>
      <c r="DF228" s="13"/>
      <c r="DI228" s="65"/>
      <c r="DJ228" s="13"/>
      <c r="DM228" s="65"/>
      <c r="DN228" s="13"/>
      <c r="DQ228" s="65"/>
      <c r="DR228" s="13"/>
      <c r="DU228" s="65"/>
      <c r="DV228" s="13"/>
      <c r="DY228" s="65"/>
      <c r="DZ228" s="13"/>
      <c r="EA228" s="14"/>
      <c r="EC228" s="65"/>
      <c r="ED228" s="13"/>
      <c r="EE228" s="14"/>
      <c r="EG228" s="65"/>
      <c r="EH228" s="13"/>
      <c r="EI228" s="14"/>
      <c r="EK228" s="65"/>
      <c r="EL228" s="13"/>
      <c r="EM228" s="14"/>
      <c r="EO228" s="65"/>
      <c r="EP228" s="13"/>
      <c r="EQ228" s="14"/>
      <c r="ES228" s="65"/>
      <c r="ET228" s="13"/>
      <c r="EU228" s="14"/>
      <c r="EW228" s="65"/>
      <c r="EX228" s="13"/>
      <c r="EY228" s="14"/>
      <c r="FA228" s="65"/>
      <c r="FB228" s="13"/>
      <c r="FC228" s="14"/>
      <c r="FE228" s="65"/>
      <c r="FF228" s="13"/>
      <c r="FG228" s="14"/>
      <c r="FI228" s="65"/>
      <c r="FJ228" s="13"/>
      <c r="FK228" s="14"/>
      <c r="FM228" s="65"/>
      <c r="FN228" s="13"/>
      <c r="FO228" s="14"/>
      <c r="FQ228" s="65"/>
      <c r="FR228" s="13"/>
      <c r="FS228" s="14"/>
      <c r="FU228" s="65"/>
      <c r="FV228" s="13"/>
      <c r="FW228" s="14"/>
      <c r="FY228" s="65"/>
      <c r="FZ228" s="13"/>
      <c r="GA228" s="14"/>
      <c r="GC228" s="65"/>
      <c r="GD228" s="13"/>
      <c r="GE228" s="14"/>
      <c r="GG228" s="65"/>
      <c r="GH228" s="13"/>
      <c r="GI228" s="14"/>
      <c r="GK228" s="65"/>
      <c r="GL228" s="13"/>
      <c r="GM228" s="14"/>
      <c r="GO228" s="65"/>
      <c r="GP228" s="13"/>
      <c r="GQ228" s="14"/>
      <c r="GS228" s="65"/>
      <c r="GT228" s="13"/>
      <c r="GU228" s="14"/>
      <c r="GW228" s="65"/>
      <c r="GX228" s="13"/>
      <c r="GY228" s="14"/>
      <c r="HA228" s="65"/>
      <c r="HB228" s="13"/>
      <c r="HC228" s="14"/>
      <c r="HE228" s="65"/>
      <c r="HF228" s="13"/>
      <c r="HG228" s="14"/>
      <c r="HI228" s="65"/>
      <c r="HJ228" s="13"/>
      <c r="HK228" s="14"/>
      <c r="HM228" s="65"/>
      <c r="HN228" s="13"/>
      <c r="HO228" s="14"/>
      <c r="HQ228" s="65"/>
      <c r="HR228" s="13"/>
      <c r="HS228" s="14"/>
      <c r="HU228" s="65"/>
      <c r="HV228" s="13"/>
      <c r="HW228" s="14"/>
      <c r="HY228" s="65"/>
      <c r="HZ228" s="13"/>
      <c r="IA228" s="14"/>
      <c r="IC228" s="65"/>
      <c r="ID228" s="13"/>
      <c r="IE228" s="14"/>
      <c r="IG228" s="65"/>
      <c r="IH228" s="13"/>
      <c r="II228" s="14"/>
      <c r="IK228" s="65"/>
      <c r="IL228" s="13"/>
      <c r="IM228" s="14"/>
      <c r="IO228" s="65"/>
      <c r="IP228" s="13"/>
      <c r="IQ228" s="14"/>
      <c r="IS228" s="65"/>
      <c r="IT228" s="13"/>
      <c r="IU228" s="14"/>
      <c r="IW228" s="65"/>
      <c r="IX228" s="13"/>
      <c r="IY228" s="14"/>
      <c r="JA228" s="65"/>
      <c r="JB228" s="13"/>
      <c r="JC228" s="14"/>
      <c r="JE228" s="65"/>
      <c r="JF228" s="13"/>
      <c r="JG228" s="14"/>
      <c r="JI228" s="65"/>
      <c r="JJ228" s="13"/>
      <c r="JK228" s="14"/>
      <c r="JM228" s="65"/>
      <c r="JN228" s="13"/>
      <c r="JO228" s="14"/>
      <c r="JQ228" s="65"/>
      <c r="JR228" s="13"/>
      <c r="JS228" s="14"/>
      <c r="JU228" s="65"/>
      <c r="JV228" s="13"/>
      <c r="JW228" s="14"/>
      <c r="JY228" s="65"/>
      <c r="JZ228" s="13"/>
      <c r="KA228" s="14"/>
      <c r="KC228" s="65"/>
      <c r="KD228" s="13"/>
      <c r="KE228" s="14"/>
      <c r="KG228" s="65"/>
      <c r="KH228" s="13"/>
      <c r="KI228" s="14"/>
      <c r="KK228" s="65"/>
      <c r="KL228" s="13"/>
      <c r="KM228" s="14"/>
      <c r="KO228" s="65"/>
      <c r="KP228" s="13"/>
      <c r="KQ228" s="14"/>
      <c r="KS228" s="65"/>
      <c r="KT228" s="13"/>
      <c r="KU228" s="14"/>
      <c r="KW228" s="65"/>
      <c r="KX228" s="13"/>
      <c r="KY228" s="14"/>
      <c r="LA228" s="65"/>
      <c r="LB228" s="13"/>
      <c r="LC228" s="14"/>
      <c r="LE228" s="65"/>
      <c r="LF228" s="13"/>
      <c r="LG228" s="14"/>
      <c r="LI228" s="65"/>
      <c r="LJ228" s="13"/>
      <c r="LK228" s="14"/>
      <c r="LM228" s="65"/>
      <c r="LN228" s="13"/>
      <c r="LO228" s="14"/>
      <c r="LQ228" s="65"/>
      <c r="LR228" s="13"/>
      <c r="LS228" s="14"/>
      <c r="LU228" s="65"/>
      <c r="LV228" s="13"/>
      <c r="LW228" s="14"/>
      <c r="LY228" s="65"/>
      <c r="LZ228" s="13"/>
      <c r="MA228" s="14"/>
      <c r="MC228" s="65"/>
      <c r="MD228" s="13"/>
      <c r="ME228" s="14"/>
      <c r="MG228" s="65"/>
      <c r="MH228" s="13"/>
      <c r="MI228" s="14"/>
      <c r="MK228" s="65"/>
      <c r="ML228" s="13"/>
      <c r="MM228" s="14"/>
      <c r="MO228" s="65"/>
      <c r="MP228" s="13"/>
      <c r="MQ228" s="14"/>
      <c r="MS228" s="65"/>
      <c r="MT228" s="13"/>
      <c r="MU228" s="14"/>
    </row>
    <row r="229" spans="1:359" hidden="1" x14ac:dyDescent="0.25">
      <c r="A229" s="15">
        <f t="shared" si="193"/>
        <v>0</v>
      </c>
      <c r="B229" s="20">
        <v>42923</v>
      </c>
      <c r="C229"/>
      <c r="D229" s="12"/>
      <c r="E229" s="12"/>
      <c r="I229" s="12"/>
      <c r="J229" s="12"/>
      <c r="N229" s="12"/>
      <c r="O229" s="12"/>
      <c r="T229" s="15"/>
      <c r="U229" s="20"/>
      <c r="V229" s="36"/>
      <c r="W229" s="12"/>
      <c r="X229" s="12"/>
      <c r="AB229" s="12"/>
      <c r="AC229" s="12"/>
      <c r="AG229" s="12"/>
      <c r="AH229" s="12"/>
      <c r="AK229" s="12"/>
      <c r="AL229" s="13"/>
      <c r="AM229" s="14"/>
      <c r="CK229" s="65"/>
      <c r="CL229" s="13"/>
      <c r="CO229" s="65"/>
      <c r="CP229" s="13"/>
      <c r="CS229" s="65"/>
      <c r="CT229" s="13"/>
      <c r="CW229" s="65"/>
      <c r="CX229" s="13"/>
      <c r="DA229" s="65"/>
      <c r="DB229" s="13"/>
      <c r="DE229" s="65"/>
      <c r="DF229" s="13"/>
      <c r="DI229" s="65"/>
      <c r="DJ229" s="13"/>
      <c r="DM229" s="65"/>
      <c r="DN229" s="13"/>
      <c r="DQ229" s="65"/>
      <c r="DR229" s="13"/>
      <c r="DU229" s="65"/>
      <c r="DV229" s="13"/>
      <c r="DY229" s="65"/>
      <c r="DZ229" s="13"/>
      <c r="EA229" s="14"/>
      <c r="EC229" s="65"/>
      <c r="ED229" s="13"/>
      <c r="EE229" s="14"/>
      <c r="EG229" s="65"/>
      <c r="EH229" s="13"/>
      <c r="EI229" s="14"/>
      <c r="EK229" s="65"/>
      <c r="EL229" s="13"/>
      <c r="EM229" s="14"/>
      <c r="EO229" s="65"/>
      <c r="EP229" s="13"/>
      <c r="EQ229" s="14"/>
      <c r="ES229" s="65"/>
      <c r="ET229" s="13"/>
      <c r="EU229" s="14"/>
      <c r="EW229" s="65"/>
      <c r="EX229" s="13"/>
      <c r="EY229" s="14"/>
      <c r="FA229" s="65"/>
      <c r="FB229" s="13"/>
      <c r="FC229" s="14"/>
      <c r="FE229" s="65"/>
      <c r="FF229" s="13"/>
      <c r="FG229" s="14"/>
      <c r="FI229" s="65"/>
      <c r="FJ229" s="13"/>
      <c r="FK229" s="14"/>
      <c r="FM229" s="65"/>
      <c r="FN229" s="13"/>
      <c r="FO229" s="14"/>
      <c r="FQ229" s="65"/>
      <c r="FR229" s="13"/>
      <c r="FS229" s="14"/>
      <c r="FU229" s="65"/>
      <c r="FV229" s="13"/>
      <c r="FW229" s="14"/>
      <c r="FY229" s="65"/>
      <c r="FZ229" s="13"/>
      <c r="GA229" s="14"/>
      <c r="GC229" s="65"/>
      <c r="GD229" s="13"/>
      <c r="GE229" s="14"/>
      <c r="GG229" s="65"/>
      <c r="GH229" s="13"/>
      <c r="GI229" s="14"/>
      <c r="GK229" s="65"/>
      <c r="GL229" s="13"/>
      <c r="GM229" s="14"/>
      <c r="GO229" s="65"/>
      <c r="GP229" s="13"/>
      <c r="GQ229" s="14"/>
      <c r="GS229" s="65"/>
      <c r="GT229" s="13"/>
      <c r="GU229" s="14"/>
      <c r="GW229" s="65"/>
      <c r="GX229" s="13"/>
      <c r="GY229" s="14"/>
      <c r="HA229" s="65"/>
      <c r="HB229" s="13"/>
      <c r="HC229" s="14"/>
      <c r="HE229" s="65"/>
      <c r="HF229" s="13"/>
      <c r="HG229" s="14"/>
      <c r="HI229" s="65"/>
      <c r="HJ229" s="13"/>
      <c r="HK229" s="14"/>
      <c r="HM229" s="65"/>
      <c r="HN229" s="13"/>
      <c r="HO229" s="14"/>
      <c r="HQ229" s="65"/>
      <c r="HR229" s="13"/>
      <c r="HS229" s="14"/>
      <c r="HU229" s="65"/>
      <c r="HV229" s="13"/>
      <c r="HW229" s="14"/>
      <c r="HY229" s="65"/>
      <c r="HZ229" s="13"/>
      <c r="IA229" s="14"/>
      <c r="IC229" s="65"/>
      <c r="ID229" s="13"/>
      <c r="IE229" s="14"/>
      <c r="IG229" s="65"/>
      <c r="IH229" s="13"/>
      <c r="II229" s="14"/>
      <c r="IK229" s="65"/>
      <c r="IL229" s="13"/>
      <c r="IM229" s="14"/>
      <c r="IO229" s="65"/>
      <c r="IP229" s="13"/>
      <c r="IQ229" s="14"/>
      <c r="IS229" s="65"/>
      <c r="IT229" s="13"/>
      <c r="IU229" s="14"/>
      <c r="IW229" s="65"/>
      <c r="IX229" s="13"/>
      <c r="IY229" s="14"/>
      <c r="JA229" s="65"/>
      <c r="JB229" s="13"/>
      <c r="JC229" s="14"/>
      <c r="JE229" s="65"/>
      <c r="JF229" s="13"/>
      <c r="JG229" s="14"/>
      <c r="JI229" s="65"/>
      <c r="JJ229" s="13"/>
      <c r="JK229" s="14"/>
      <c r="JM229" s="65"/>
      <c r="JN229" s="13"/>
      <c r="JO229" s="14"/>
      <c r="JQ229" s="65"/>
      <c r="JR229" s="13"/>
      <c r="JS229" s="14"/>
      <c r="JU229" s="65"/>
      <c r="JV229" s="13"/>
      <c r="JW229" s="14"/>
      <c r="JY229" s="65"/>
      <c r="JZ229" s="13"/>
      <c r="KA229" s="14"/>
      <c r="KC229" s="65"/>
      <c r="KD229" s="13"/>
      <c r="KE229" s="14"/>
      <c r="KG229" s="65"/>
      <c r="KH229" s="13"/>
      <c r="KI229" s="14"/>
      <c r="KK229" s="65"/>
      <c r="KL229" s="13"/>
      <c r="KM229" s="14"/>
      <c r="KO229" s="65"/>
      <c r="KP229" s="13"/>
      <c r="KQ229" s="14"/>
      <c r="KS229" s="65"/>
      <c r="KT229" s="13"/>
      <c r="KU229" s="14"/>
      <c r="KW229" s="65"/>
      <c r="KX229" s="13"/>
      <c r="KY229" s="14"/>
      <c r="LA229" s="65"/>
      <c r="LB229" s="13"/>
      <c r="LC229" s="14"/>
      <c r="LE229" s="65"/>
      <c r="LF229" s="13"/>
      <c r="LG229" s="14"/>
      <c r="LI229" s="65"/>
      <c r="LJ229" s="13"/>
      <c r="LK229" s="14"/>
      <c r="LM229" s="65"/>
      <c r="LN229" s="13"/>
      <c r="LO229" s="14"/>
      <c r="LQ229" s="65"/>
      <c r="LR229" s="13"/>
      <c r="LS229" s="14"/>
      <c r="LU229" s="65"/>
      <c r="LV229" s="13"/>
      <c r="LW229" s="14"/>
      <c r="LY229" s="65"/>
      <c r="LZ229" s="13"/>
      <c r="MA229" s="14"/>
      <c r="MC229" s="65"/>
      <c r="MD229" s="13"/>
      <c r="ME229" s="14"/>
      <c r="MG229" s="65"/>
      <c r="MH229" s="13"/>
      <c r="MI229" s="14"/>
      <c r="MK229" s="65"/>
      <c r="ML229" s="13"/>
      <c r="MM229" s="14"/>
      <c r="MO229" s="65"/>
      <c r="MP229" s="13"/>
      <c r="MQ229" s="14"/>
      <c r="MS229" s="65"/>
      <c r="MT229" s="13"/>
      <c r="MU229" s="14"/>
    </row>
    <row r="230" spans="1:359" hidden="1" x14ac:dyDescent="0.25">
      <c r="A230" s="15">
        <f t="shared" si="193"/>
        <v>0</v>
      </c>
      <c r="B230" s="20">
        <v>42924</v>
      </c>
      <c r="C230"/>
      <c r="D230" s="12"/>
      <c r="E230" s="12"/>
      <c r="I230" s="12"/>
      <c r="J230" s="12"/>
      <c r="N230" s="12"/>
      <c r="O230" s="12"/>
      <c r="T230" s="15"/>
      <c r="U230" s="20"/>
      <c r="V230" s="36"/>
      <c r="W230" s="12"/>
      <c r="X230" s="12"/>
      <c r="AB230" s="12"/>
      <c r="AC230" s="12"/>
      <c r="AG230" s="12"/>
      <c r="AH230" s="12"/>
      <c r="AK230" s="12"/>
      <c r="AL230" s="13"/>
      <c r="AM230" s="14"/>
      <c r="CK230" s="65"/>
      <c r="CL230" s="13"/>
      <c r="CO230" s="65"/>
      <c r="CP230" s="13"/>
      <c r="CS230" s="65"/>
      <c r="CT230" s="13"/>
      <c r="CW230" s="65"/>
      <c r="CX230" s="13"/>
      <c r="DA230" s="65"/>
      <c r="DB230" s="13"/>
      <c r="DE230" s="65"/>
      <c r="DF230" s="13"/>
      <c r="DI230" s="65"/>
      <c r="DJ230" s="13"/>
      <c r="DM230" s="65"/>
      <c r="DN230" s="13"/>
      <c r="DQ230" s="65"/>
      <c r="DR230" s="13"/>
      <c r="DU230" s="65"/>
      <c r="DV230" s="13"/>
      <c r="DY230" s="65"/>
      <c r="DZ230" s="13"/>
      <c r="EA230" s="14"/>
      <c r="EC230" s="65"/>
      <c r="ED230" s="13"/>
      <c r="EE230" s="14"/>
      <c r="EG230" s="65"/>
      <c r="EH230" s="13"/>
      <c r="EI230" s="14"/>
      <c r="EK230" s="65"/>
      <c r="EL230" s="13"/>
      <c r="EM230" s="14"/>
      <c r="EO230" s="65"/>
      <c r="EP230" s="13"/>
      <c r="EQ230" s="14"/>
      <c r="ES230" s="65"/>
      <c r="ET230" s="13"/>
      <c r="EU230" s="14"/>
      <c r="EW230" s="65"/>
      <c r="EX230" s="13"/>
      <c r="EY230" s="14"/>
      <c r="FA230" s="65"/>
      <c r="FB230" s="13"/>
      <c r="FC230" s="14"/>
      <c r="FE230" s="65"/>
      <c r="FF230" s="13"/>
      <c r="FG230" s="14"/>
      <c r="FI230" s="65"/>
      <c r="FJ230" s="13"/>
      <c r="FK230" s="14"/>
      <c r="FM230" s="65"/>
      <c r="FN230" s="13"/>
      <c r="FO230" s="14"/>
      <c r="FQ230" s="65"/>
      <c r="FR230" s="13"/>
      <c r="FS230" s="14"/>
      <c r="FU230" s="65"/>
      <c r="FV230" s="13"/>
      <c r="FW230" s="14"/>
      <c r="FY230" s="65"/>
      <c r="FZ230" s="13"/>
      <c r="GA230" s="14"/>
      <c r="GC230" s="65"/>
      <c r="GD230" s="13"/>
      <c r="GE230" s="14"/>
      <c r="GG230" s="65"/>
      <c r="GH230" s="13"/>
      <c r="GI230" s="14"/>
      <c r="GK230" s="65"/>
      <c r="GL230" s="13"/>
      <c r="GM230" s="14"/>
      <c r="GO230" s="65"/>
      <c r="GP230" s="13"/>
      <c r="GQ230" s="14"/>
      <c r="GS230" s="65"/>
      <c r="GT230" s="13"/>
      <c r="GU230" s="14"/>
      <c r="GW230" s="65"/>
      <c r="GX230" s="13"/>
      <c r="GY230" s="14"/>
      <c r="HA230" s="65"/>
      <c r="HB230" s="13"/>
      <c r="HC230" s="14"/>
      <c r="HE230" s="65"/>
      <c r="HF230" s="13"/>
      <c r="HG230" s="14"/>
      <c r="HI230" s="65"/>
      <c r="HJ230" s="13"/>
      <c r="HK230" s="14"/>
      <c r="HM230" s="65"/>
      <c r="HN230" s="13"/>
      <c r="HO230" s="14"/>
      <c r="HQ230" s="65"/>
      <c r="HR230" s="13"/>
      <c r="HS230" s="14"/>
      <c r="HU230" s="65"/>
      <c r="HV230" s="13"/>
      <c r="HW230" s="14"/>
      <c r="HY230" s="65"/>
      <c r="HZ230" s="13"/>
      <c r="IA230" s="14"/>
      <c r="IC230" s="65"/>
      <c r="ID230" s="13"/>
      <c r="IE230" s="14"/>
      <c r="IG230" s="65"/>
      <c r="IH230" s="13"/>
      <c r="II230" s="14"/>
      <c r="IK230" s="65"/>
      <c r="IL230" s="13"/>
      <c r="IM230" s="14"/>
      <c r="IO230" s="65"/>
      <c r="IP230" s="13"/>
      <c r="IQ230" s="14"/>
      <c r="IS230" s="65"/>
      <c r="IT230" s="13"/>
      <c r="IU230" s="14"/>
      <c r="IW230" s="65"/>
      <c r="IX230" s="13"/>
      <c r="IY230" s="14"/>
      <c r="JA230" s="65"/>
      <c r="JB230" s="13"/>
      <c r="JC230" s="14"/>
      <c r="JE230" s="65"/>
      <c r="JF230" s="13"/>
      <c r="JG230" s="14"/>
      <c r="JI230" s="65"/>
      <c r="JJ230" s="13"/>
      <c r="JK230" s="14"/>
      <c r="JM230" s="65"/>
      <c r="JN230" s="13"/>
      <c r="JO230" s="14"/>
      <c r="JQ230" s="65"/>
      <c r="JR230" s="13"/>
      <c r="JS230" s="14"/>
      <c r="JU230" s="65"/>
      <c r="JV230" s="13"/>
      <c r="JW230" s="14"/>
      <c r="JY230" s="65"/>
      <c r="JZ230" s="13"/>
      <c r="KA230" s="14"/>
      <c r="KC230" s="65"/>
      <c r="KD230" s="13"/>
      <c r="KE230" s="14"/>
      <c r="KG230" s="65"/>
      <c r="KH230" s="13"/>
      <c r="KI230" s="14"/>
      <c r="KK230" s="65"/>
      <c r="KL230" s="13"/>
      <c r="KM230" s="14"/>
      <c r="KO230" s="65"/>
      <c r="KP230" s="13"/>
      <c r="KQ230" s="14"/>
      <c r="KS230" s="65"/>
      <c r="KT230" s="13"/>
      <c r="KU230" s="14"/>
      <c r="KW230" s="65"/>
      <c r="KX230" s="13"/>
      <c r="KY230" s="14"/>
      <c r="LA230" s="65"/>
      <c r="LB230" s="13"/>
      <c r="LC230" s="14"/>
      <c r="LE230" s="65"/>
      <c r="LF230" s="13"/>
      <c r="LG230" s="14"/>
      <c r="LI230" s="65"/>
      <c r="LJ230" s="13"/>
      <c r="LK230" s="14"/>
      <c r="LM230" s="65"/>
      <c r="LN230" s="13"/>
      <c r="LO230" s="14"/>
      <c r="LQ230" s="65"/>
      <c r="LR230" s="13"/>
      <c r="LS230" s="14"/>
      <c r="LU230" s="65"/>
      <c r="LV230" s="13"/>
      <c r="LW230" s="14"/>
      <c r="LY230" s="65"/>
      <c r="LZ230" s="13"/>
      <c r="MA230" s="14"/>
      <c r="MC230" s="65"/>
      <c r="MD230" s="13"/>
      <c r="ME230" s="14"/>
      <c r="MG230" s="65"/>
      <c r="MH230" s="13"/>
      <c r="MI230" s="14"/>
      <c r="MK230" s="65"/>
      <c r="ML230" s="13"/>
      <c r="MM230" s="14"/>
      <c r="MO230" s="65"/>
      <c r="MP230" s="13"/>
      <c r="MQ230" s="14"/>
      <c r="MS230" s="65"/>
      <c r="MT230" s="13"/>
      <c r="MU230" s="14"/>
    </row>
    <row r="231" spans="1:359" hidden="1" x14ac:dyDescent="0.25">
      <c r="A231" s="15">
        <f t="shared" si="193"/>
        <v>0</v>
      </c>
      <c r="B231" s="20">
        <v>42925</v>
      </c>
      <c r="C231"/>
      <c r="D231" s="12"/>
      <c r="E231" s="12"/>
      <c r="I231" s="12"/>
      <c r="J231" s="12"/>
      <c r="N231" s="12"/>
      <c r="O231" s="12"/>
      <c r="T231" s="15"/>
      <c r="U231" s="20"/>
      <c r="V231" s="36"/>
      <c r="W231" s="12"/>
      <c r="X231" s="12"/>
      <c r="AB231" s="12"/>
      <c r="AC231" s="12"/>
      <c r="AG231" s="12"/>
      <c r="AH231" s="12"/>
      <c r="AK231" s="12"/>
      <c r="AL231" s="13"/>
      <c r="AM231" s="14"/>
      <c r="CK231" s="65"/>
      <c r="CL231" s="13"/>
      <c r="CO231" s="65"/>
      <c r="CP231" s="13"/>
      <c r="CS231" s="65"/>
      <c r="CT231" s="13"/>
      <c r="CW231" s="65"/>
      <c r="CX231" s="13"/>
      <c r="DA231" s="65"/>
      <c r="DB231" s="13"/>
      <c r="DE231" s="65"/>
      <c r="DF231" s="13"/>
      <c r="DI231" s="65"/>
      <c r="DJ231" s="13"/>
      <c r="DM231" s="65"/>
      <c r="DN231" s="13"/>
      <c r="DQ231" s="65"/>
      <c r="DR231" s="13"/>
      <c r="DU231" s="65"/>
      <c r="DV231" s="13"/>
      <c r="DY231" s="65"/>
      <c r="DZ231" s="13"/>
      <c r="EA231" s="14"/>
      <c r="EC231" s="65"/>
      <c r="ED231" s="13"/>
      <c r="EE231" s="14"/>
      <c r="EG231" s="65"/>
      <c r="EH231" s="13"/>
      <c r="EI231" s="14"/>
      <c r="EK231" s="65"/>
      <c r="EL231" s="13"/>
      <c r="EM231" s="14"/>
      <c r="EO231" s="65"/>
      <c r="EP231" s="13"/>
      <c r="EQ231" s="14"/>
      <c r="ES231" s="65"/>
      <c r="ET231" s="13"/>
      <c r="EU231" s="14"/>
      <c r="EW231" s="65"/>
      <c r="EX231" s="13"/>
      <c r="EY231" s="14"/>
      <c r="FA231" s="65"/>
      <c r="FB231" s="13"/>
      <c r="FC231" s="14"/>
      <c r="FE231" s="65"/>
      <c r="FF231" s="13"/>
      <c r="FG231" s="14"/>
      <c r="FI231" s="65"/>
      <c r="FJ231" s="13"/>
      <c r="FK231" s="14"/>
      <c r="FM231" s="65"/>
      <c r="FN231" s="13"/>
      <c r="FO231" s="14"/>
      <c r="FQ231" s="65"/>
      <c r="FR231" s="13"/>
      <c r="FS231" s="14"/>
      <c r="FU231" s="65"/>
      <c r="FV231" s="13"/>
      <c r="FW231" s="14"/>
      <c r="FY231" s="65"/>
      <c r="FZ231" s="13"/>
      <c r="GA231" s="14"/>
      <c r="GC231" s="65"/>
      <c r="GD231" s="13"/>
      <c r="GE231" s="14"/>
      <c r="GG231" s="65"/>
      <c r="GH231" s="13"/>
      <c r="GI231" s="14"/>
      <c r="GK231" s="65"/>
      <c r="GL231" s="13"/>
      <c r="GM231" s="14"/>
      <c r="GO231" s="65"/>
      <c r="GP231" s="13"/>
      <c r="GQ231" s="14"/>
      <c r="GS231" s="65"/>
      <c r="GT231" s="13"/>
      <c r="GU231" s="14"/>
      <c r="GW231" s="65"/>
      <c r="GX231" s="13"/>
      <c r="GY231" s="14"/>
      <c r="HA231" s="65"/>
      <c r="HB231" s="13"/>
      <c r="HC231" s="14"/>
      <c r="HE231" s="65"/>
      <c r="HF231" s="13"/>
      <c r="HG231" s="14"/>
      <c r="HI231" s="65"/>
      <c r="HJ231" s="13"/>
      <c r="HK231" s="14"/>
      <c r="HM231" s="65"/>
      <c r="HN231" s="13"/>
      <c r="HO231" s="14"/>
      <c r="HQ231" s="65"/>
      <c r="HR231" s="13"/>
      <c r="HS231" s="14"/>
      <c r="HU231" s="65"/>
      <c r="HV231" s="13"/>
      <c r="HW231" s="14"/>
      <c r="HY231" s="65"/>
      <c r="HZ231" s="13"/>
      <c r="IA231" s="14"/>
      <c r="IC231" s="65"/>
      <c r="ID231" s="13"/>
      <c r="IE231" s="14"/>
      <c r="IG231" s="65"/>
      <c r="IH231" s="13"/>
      <c r="II231" s="14"/>
      <c r="IK231" s="65"/>
      <c r="IL231" s="13"/>
      <c r="IM231" s="14"/>
      <c r="IO231" s="65"/>
      <c r="IP231" s="13"/>
      <c r="IQ231" s="14"/>
      <c r="IS231" s="65"/>
      <c r="IT231" s="13"/>
      <c r="IU231" s="14"/>
      <c r="IW231" s="65"/>
      <c r="IX231" s="13"/>
      <c r="IY231" s="14"/>
      <c r="JA231" s="65"/>
      <c r="JB231" s="13"/>
      <c r="JC231" s="14"/>
      <c r="JE231" s="65"/>
      <c r="JF231" s="13"/>
      <c r="JG231" s="14"/>
      <c r="JI231" s="65"/>
      <c r="JJ231" s="13"/>
      <c r="JK231" s="14"/>
      <c r="JM231" s="65"/>
      <c r="JN231" s="13"/>
      <c r="JO231" s="14"/>
      <c r="JQ231" s="65"/>
      <c r="JR231" s="13"/>
      <c r="JS231" s="14"/>
      <c r="JU231" s="65"/>
      <c r="JV231" s="13"/>
      <c r="JW231" s="14"/>
      <c r="JY231" s="65"/>
      <c r="JZ231" s="13"/>
      <c r="KA231" s="14"/>
      <c r="KC231" s="65"/>
      <c r="KD231" s="13"/>
      <c r="KE231" s="14"/>
      <c r="KG231" s="65"/>
      <c r="KH231" s="13"/>
      <c r="KI231" s="14"/>
      <c r="KK231" s="65"/>
      <c r="KL231" s="13"/>
      <c r="KM231" s="14"/>
      <c r="KO231" s="65"/>
      <c r="KP231" s="13"/>
      <c r="KQ231" s="14"/>
      <c r="KS231" s="65"/>
      <c r="KT231" s="13"/>
      <c r="KU231" s="14"/>
      <c r="KW231" s="65"/>
      <c r="KX231" s="13"/>
      <c r="KY231" s="14"/>
      <c r="LA231" s="65"/>
      <c r="LB231" s="13"/>
      <c r="LC231" s="14"/>
      <c r="LE231" s="65"/>
      <c r="LF231" s="13"/>
      <c r="LG231" s="14"/>
      <c r="LI231" s="65"/>
      <c r="LJ231" s="13"/>
      <c r="LK231" s="14"/>
      <c r="LM231" s="65"/>
      <c r="LN231" s="13"/>
      <c r="LO231" s="14"/>
      <c r="LQ231" s="65"/>
      <c r="LR231" s="13"/>
      <c r="LS231" s="14"/>
      <c r="LU231" s="65"/>
      <c r="LV231" s="13"/>
      <c r="LW231" s="14"/>
      <c r="LY231" s="65"/>
      <c r="LZ231" s="13"/>
      <c r="MA231" s="14"/>
      <c r="MC231" s="65"/>
      <c r="MD231" s="13"/>
      <c r="ME231" s="14"/>
      <c r="MG231" s="65"/>
      <c r="MH231" s="13"/>
      <c r="MI231" s="14"/>
      <c r="MK231" s="65"/>
      <c r="ML231" s="13"/>
      <c r="MM231" s="14"/>
      <c r="MO231" s="65"/>
      <c r="MP231" s="13"/>
      <c r="MQ231" s="14"/>
      <c r="MS231" s="65"/>
      <c r="MT231" s="13"/>
      <c r="MU231" s="14"/>
    </row>
    <row r="232" spans="1:359" hidden="1" x14ac:dyDescent="0.25">
      <c r="A232" s="15">
        <f t="shared" si="193"/>
        <v>0</v>
      </c>
      <c r="B232" s="20">
        <v>42926</v>
      </c>
      <c r="C232"/>
      <c r="D232" s="12"/>
      <c r="E232" s="12"/>
      <c r="I232" s="12"/>
      <c r="J232" s="12"/>
      <c r="N232" s="12"/>
      <c r="O232" s="12"/>
      <c r="T232" s="15"/>
      <c r="U232" s="20"/>
      <c r="V232" s="36"/>
      <c r="W232" s="12"/>
      <c r="X232" s="12"/>
      <c r="AB232" s="12"/>
      <c r="AC232" s="12"/>
      <c r="AG232" s="12"/>
      <c r="AH232" s="12"/>
      <c r="AK232" s="12"/>
      <c r="AL232" s="13"/>
      <c r="AM232" s="14"/>
      <c r="CK232" s="65"/>
      <c r="CL232" s="13"/>
      <c r="CO232" s="65"/>
      <c r="CP232" s="13"/>
      <c r="CS232" s="65"/>
      <c r="CT232" s="13"/>
      <c r="CW232" s="65"/>
      <c r="CX232" s="13"/>
      <c r="DA232" s="65"/>
      <c r="DB232" s="13"/>
      <c r="DE232" s="65"/>
      <c r="DF232" s="13"/>
      <c r="DI232" s="65"/>
      <c r="DJ232" s="13"/>
      <c r="DM232" s="65"/>
      <c r="DN232" s="13"/>
      <c r="DQ232" s="65"/>
      <c r="DR232" s="13"/>
      <c r="DU232" s="65"/>
      <c r="DV232" s="13"/>
      <c r="DY232" s="65"/>
      <c r="DZ232" s="13"/>
      <c r="EA232" s="14"/>
      <c r="EC232" s="65"/>
      <c r="ED232" s="13"/>
      <c r="EE232" s="14"/>
      <c r="EG232" s="65"/>
      <c r="EH232" s="13"/>
      <c r="EI232" s="14"/>
      <c r="EK232" s="65"/>
      <c r="EL232" s="13"/>
      <c r="EM232" s="14"/>
      <c r="EO232" s="65"/>
      <c r="EP232" s="13"/>
      <c r="EQ232" s="14"/>
      <c r="ES232" s="65"/>
      <c r="ET232" s="13"/>
      <c r="EU232" s="14"/>
      <c r="EW232" s="65"/>
      <c r="EX232" s="13"/>
      <c r="EY232" s="14"/>
      <c r="FA232" s="65"/>
      <c r="FB232" s="13"/>
      <c r="FC232" s="14"/>
      <c r="FE232" s="65"/>
      <c r="FF232" s="13"/>
      <c r="FG232" s="14"/>
      <c r="FI232" s="65"/>
      <c r="FJ232" s="13"/>
      <c r="FK232" s="14"/>
      <c r="FM232" s="65"/>
      <c r="FN232" s="13"/>
      <c r="FO232" s="14"/>
      <c r="FQ232" s="65"/>
      <c r="FR232" s="13"/>
      <c r="FS232" s="14"/>
      <c r="FU232" s="65"/>
      <c r="FV232" s="13"/>
      <c r="FW232" s="14"/>
      <c r="FY232" s="65"/>
      <c r="FZ232" s="13"/>
      <c r="GA232" s="14"/>
      <c r="GC232" s="65"/>
      <c r="GD232" s="13"/>
      <c r="GE232" s="14"/>
      <c r="GG232" s="65"/>
      <c r="GH232" s="13"/>
      <c r="GI232" s="14"/>
      <c r="GK232" s="65"/>
      <c r="GL232" s="13"/>
      <c r="GM232" s="14"/>
      <c r="GO232" s="65"/>
      <c r="GP232" s="13"/>
      <c r="GQ232" s="14"/>
      <c r="GS232" s="65"/>
      <c r="GT232" s="13"/>
      <c r="GU232" s="14"/>
      <c r="GW232" s="65"/>
      <c r="GX232" s="13"/>
      <c r="GY232" s="14"/>
      <c r="HA232" s="65"/>
      <c r="HB232" s="13"/>
      <c r="HC232" s="14"/>
      <c r="HE232" s="65"/>
      <c r="HF232" s="13"/>
      <c r="HG232" s="14"/>
      <c r="HI232" s="65"/>
      <c r="HJ232" s="13"/>
      <c r="HK232" s="14"/>
      <c r="HM232" s="65"/>
      <c r="HN232" s="13"/>
      <c r="HO232" s="14"/>
      <c r="HQ232" s="65"/>
      <c r="HR232" s="13"/>
      <c r="HS232" s="14"/>
      <c r="HU232" s="65"/>
      <c r="HV232" s="13"/>
      <c r="HW232" s="14"/>
      <c r="HY232" s="65"/>
      <c r="HZ232" s="13"/>
      <c r="IA232" s="14"/>
      <c r="IC232" s="65"/>
      <c r="ID232" s="13"/>
      <c r="IE232" s="14"/>
      <c r="IG232" s="65"/>
      <c r="IH232" s="13"/>
      <c r="II232" s="14"/>
      <c r="IK232" s="65"/>
      <c r="IL232" s="13"/>
      <c r="IM232" s="14"/>
      <c r="IO232" s="65"/>
      <c r="IP232" s="13"/>
      <c r="IQ232" s="14"/>
      <c r="IS232" s="65"/>
      <c r="IT232" s="13"/>
      <c r="IU232" s="14"/>
      <c r="IW232" s="65"/>
      <c r="IX232" s="13"/>
      <c r="IY232" s="14"/>
      <c r="JA232" s="65"/>
      <c r="JB232" s="13"/>
      <c r="JC232" s="14"/>
      <c r="JE232" s="65"/>
      <c r="JF232" s="13"/>
      <c r="JG232" s="14"/>
      <c r="JI232" s="65"/>
      <c r="JJ232" s="13"/>
      <c r="JK232" s="14"/>
      <c r="JM232" s="65"/>
      <c r="JN232" s="13"/>
      <c r="JO232" s="14"/>
      <c r="JQ232" s="65"/>
      <c r="JR232" s="13"/>
      <c r="JS232" s="14"/>
      <c r="JU232" s="65"/>
      <c r="JV232" s="13"/>
      <c r="JW232" s="14"/>
      <c r="JY232" s="65"/>
      <c r="JZ232" s="13"/>
      <c r="KA232" s="14"/>
      <c r="KC232" s="65"/>
      <c r="KD232" s="13"/>
      <c r="KE232" s="14"/>
      <c r="KG232" s="65"/>
      <c r="KH232" s="13"/>
      <c r="KI232" s="14"/>
      <c r="KK232" s="65"/>
      <c r="KL232" s="13"/>
      <c r="KM232" s="14"/>
      <c r="KO232" s="65"/>
      <c r="KP232" s="13"/>
      <c r="KQ232" s="14"/>
      <c r="KS232" s="65"/>
      <c r="KT232" s="13"/>
      <c r="KU232" s="14"/>
      <c r="KW232" s="65"/>
      <c r="KX232" s="13"/>
      <c r="KY232" s="14"/>
      <c r="LA232" s="65"/>
      <c r="LB232" s="13"/>
      <c r="LC232" s="14"/>
      <c r="LE232" s="65"/>
      <c r="LF232" s="13"/>
      <c r="LG232" s="14"/>
      <c r="LI232" s="65"/>
      <c r="LJ232" s="13"/>
      <c r="LK232" s="14"/>
      <c r="LM232" s="65"/>
      <c r="LN232" s="13"/>
      <c r="LO232" s="14"/>
      <c r="LQ232" s="65"/>
      <c r="LR232" s="13"/>
      <c r="LS232" s="14"/>
      <c r="LU232" s="65"/>
      <c r="LV232" s="13"/>
      <c r="LW232" s="14"/>
      <c r="LY232" s="65"/>
      <c r="LZ232" s="13"/>
      <c r="MA232" s="14"/>
      <c r="MC232" s="65"/>
      <c r="MD232" s="13"/>
      <c r="ME232" s="14"/>
      <c r="MG232" s="65"/>
      <c r="MH232" s="13"/>
      <c r="MI232" s="14"/>
      <c r="MK232" s="65"/>
      <c r="ML232" s="13"/>
      <c r="MM232" s="14"/>
      <c r="MO232" s="65"/>
      <c r="MP232" s="13"/>
      <c r="MQ232" s="14"/>
      <c r="MS232" s="65"/>
      <c r="MT232" s="13"/>
      <c r="MU232" s="14"/>
    </row>
    <row r="233" spans="1:359" hidden="1" x14ac:dyDescent="0.25">
      <c r="A233" s="15">
        <f t="shared" si="193"/>
        <v>0</v>
      </c>
      <c r="B233" s="20">
        <v>42927</v>
      </c>
      <c r="C233"/>
      <c r="D233" s="12"/>
      <c r="E233" s="12"/>
      <c r="I233" s="12"/>
      <c r="J233" s="12"/>
      <c r="N233" s="12"/>
      <c r="O233" s="12"/>
      <c r="T233" s="15"/>
      <c r="U233" s="20"/>
      <c r="V233" s="36"/>
      <c r="W233" s="12"/>
      <c r="X233" s="12"/>
      <c r="AB233" s="12"/>
      <c r="AC233" s="12"/>
      <c r="AG233" s="12"/>
      <c r="AH233" s="12"/>
      <c r="AK233" s="12"/>
      <c r="AL233" s="13"/>
      <c r="AM233" s="14"/>
      <c r="CK233" s="65"/>
      <c r="CL233" s="13"/>
      <c r="CO233" s="65"/>
      <c r="CP233" s="13"/>
      <c r="CS233" s="65"/>
      <c r="CT233" s="13"/>
      <c r="CW233" s="65"/>
      <c r="CX233" s="13"/>
      <c r="DA233" s="65"/>
      <c r="DB233" s="13"/>
      <c r="DE233" s="65"/>
      <c r="DF233" s="13"/>
      <c r="DI233" s="65"/>
      <c r="DJ233" s="13"/>
      <c r="DM233" s="65"/>
      <c r="DN233" s="13"/>
      <c r="DQ233" s="65"/>
      <c r="DR233" s="13"/>
      <c r="DU233" s="65"/>
      <c r="DV233" s="13"/>
      <c r="DY233" s="65"/>
      <c r="DZ233" s="13"/>
      <c r="EA233" s="14"/>
      <c r="EC233" s="65"/>
      <c r="ED233" s="13"/>
      <c r="EE233" s="14"/>
      <c r="EG233" s="65"/>
      <c r="EH233" s="13"/>
      <c r="EI233" s="14"/>
      <c r="EK233" s="65"/>
      <c r="EL233" s="13"/>
      <c r="EM233" s="14"/>
      <c r="EO233" s="65"/>
      <c r="EP233" s="13"/>
      <c r="EQ233" s="14"/>
      <c r="ES233" s="65"/>
      <c r="ET233" s="13"/>
      <c r="EU233" s="14"/>
      <c r="EW233" s="65"/>
      <c r="EX233" s="13"/>
      <c r="EY233" s="14"/>
      <c r="FA233" s="65"/>
      <c r="FB233" s="13"/>
      <c r="FC233" s="14"/>
      <c r="FE233" s="65"/>
      <c r="FF233" s="13"/>
      <c r="FG233" s="14"/>
      <c r="FI233" s="65"/>
      <c r="FJ233" s="13"/>
      <c r="FK233" s="14"/>
      <c r="FM233" s="65"/>
      <c r="FN233" s="13"/>
      <c r="FO233" s="14"/>
      <c r="FQ233" s="65"/>
      <c r="FR233" s="13"/>
      <c r="FS233" s="14"/>
      <c r="FU233" s="65"/>
      <c r="FV233" s="13"/>
      <c r="FW233" s="14"/>
      <c r="FY233" s="65"/>
      <c r="FZ233" s="13"/>
      <c r="GA233" s="14"/>
      <c r="GC233" s="65"/>
      <c r="GD233" s="13"/>
      <c r="GE233" s="14"/>
      <c r="GG233" s="65"/>
      <c r="GH233" s="13"/>
      <c r="GI233" s="14"/>
      <c r="GK233" s="65"/>
      <c r="GL233" s="13"/>
      <c r="GM233" s="14"/>
      <c r="GO233" s="65"/>
      <c r="GP233" s="13"/>
      <c r="GQ233" s="14"/>
      <c r="GS233" s="65"/>
      <c r="GT233" s="13"/>
      <c r="GU233" s="14"/>
      <c r="GW233" s="65"/>
      <c r="GX233" s="13"/>
      <c r="GY233" s="14"/>
      <c r="HA233" s="65"/>
      <c r="HB233" s="13"/>
      <c r="HC233" s="14"/>
      <c r="HE233" s="65"/>
      <c r="HF233" s="13"/>
      <c r="HG233" s="14"/>
      <c r="HI233" s="65"/>
      <c r="HJ233" s="13"/>
      <c r="HK233" s="14"/>
      <c r="HM233" s="65"/>
      <c r="HN233" s="13"/>
      <c r="HO233" s="14"/>
      <c r="HQ233" s="65"/>
      <c r="HR233" s="13"/>
      <c r="HS233" s="14"/>
      <c r="HU233" s="65"/>
      <c r="HV233" s="13"/>
      <c r="HW233" s="14"/>
      <c r="HY233" s="65"/>
      <c r="HZ233" s="13"/>
      <c r="IA233" s="14"/>
      <c r="IC233" s="65"/>
      <c r="ID233" s="13"/>
      <c r="IE233" s="14"/>
      <c r="IG233" s="65"/>
      <c r="IH233" s="13"/>
      <c r="II233" s="14"/>
      <c r="IK233" s="65"/>
      <c r="IL233" s="13"/>
      <c r="IM233" s="14"/>
      <c r="IO233" s="65"/>
      <c r="IP233" s="13"/>
      <c r="IQ233" s="14"/>
      <c r="IS233" s="65"/>
      <c r="IT233" s="13"/>
      <c r="IU233" s="14"/>
      <c r="IW233" s="65"/>
      <c r="IX233" s="13"/>
      <c r="IY233" s="14"/>
      <c r="JA233" s="65"/>
      <c r="JB233" s="13"/>
      <c r="JC233" s="14"/>
      <c r="JE233" s="65"/>
      <c r="JF233" s="13"/>
      <c r="JG233" s="14"/>
      <c r="JI233" s="65"/>
      <c r="JJ233" s="13"/>
      <c r="JK233" s="14"/>
      <c r="JM233" s="65"/>
      <c r="JN233" s="13"/>
      <c r="JO233" s="14"/>
      <c r="JQ233" s="65"/>
      <c r="JR233" s="13"/>
      <c r="JS233" s="14"/>
      <c r="JU233" s="65"/>
      <c r="JV233" s="13"/>
      <c r="JW233" s="14"/>
      <c r="JY233" s="65"/>
      <c r="JZ233" s="13"/>
      <c r="KA233" s="14"/>
      <c r="KC233" s="65"/>
      <c r="KD233" s="13"/>
      <c r="KE233" s="14"/>
      <c r="KG233" s="65"/>
      <c r="KH233" s="13"/>
      <c r="KI233" s="14"/>
      <c r="KK233" s="65"/>
      <c r="KL233" s="13"/>
      <c r="KM233" s="14"/>
      <c r="KO233" s="65"/>
      <c r="KP233" s="13"/>
      <c r="KQ233" s="14"/>
      <c r="KS233" s="65"/>
      <c r="KT233" s="13"/>
      <c r="KU233" s="14"/>
      <c r="KW233" s="65"/>
      <c r="KX233" s="13"/>
      <c r="KY233" s="14"/>
      <c r="LA233" s="65"/>
      <c r="LB233" s="13"/>
      <c r="LC233" s="14"/>
      <c r="LE233" s="65"/>
      <c r="LF233" s="13"/>
      <c r="LG233" s="14"/>
      <c r="LI233" s="65"/>
      <c r="LJ233" s="13"/>
      <c r="LK233" s="14"/>
      <c r="LM233" s="65"/>
      <c r="LN233" s="13"/>
      <c r="LO233" s="14"/>
      <c r="LQ233" s="65"/>
      <c r="LR233" s="13"/>
      <c r="LS233" s="14"/>
      <c r="LU233" s="65"/>
      <c r="LV233" s="13"/>
      <c r="LW233" s="14"/>
      <c r="LY233" s="65"/>
      <c r="LZ233" s="13"/>
      <c r="MA233" s="14"/>
      <c r="MC233" s="65"/>
      <c r="MD233" s="13"/>
      <c r="ME233" s="14"/>
      <c r="MG233" s="65"/>
      <c r="MH233" s="13"/>
      <c r="MI233" s="14"/>
      <c r="MK233" s="65"/>
      <c r="ML233" s="13"/>
      <c r="MM233" s="14"/>
      <c r="MO233" s="65"/>
      <c r="MP233" s="13"/>
      <c r="MQ233" s="14"/>
      <c r="MS233" s="65"/>
      <c r="MT233" s="13"/>
      <c r="MU233" s="14"/>
    </row>
    <row r="234" spans="1:359" hidden="1" x14ac:dyDescent="0.25">
      <c r="A234" s="15">
        <f t="shared" si="193"/>
        <v>0</v>
      </c>
      <c r="B234" s="20">
        <v>42928</v>
      </c>
      <c r="C234"/>
      <c r="D234" s="12"/>
      <c r="E234" s="12"/>
      <c r="I234" s="12"/>
      <c r="J234" s="12"/>
      <c r="N234" s="12"/>
      <c r="O234" s="12"/>
      <c r="T234" s="15"/>
      <c r="U234" s="20"/>
      <c r="V234" s="36"/>
      <c r="W234" s="12"/>
      <c r="X234" s="12"/>
      <c r="AB234" s="12"/>
      <c r="AC234" s="12"/>
      <c r="AG234" s="12"/>
      <c r="AH234" s="12"/>
      <c r="AK234" s="12"/>
      <c r="AL234" s="13"/>
      <c r="AM234" s="14"/>
      <c r="CK234" s="65"/>
      <c r="CL234" s="13"/>
      <c r="CO234" s="65"/>
      <c r="CP234" s="13"/>
      <c r="CS234" s="65"/>
      <c r="CT234" s="13"/>
      <c r="CW234" s="65"/>
      <c r="CX234" s="13"/>
      <c r="DA234" s="65"/>
      <c r="DB234" s="13"/>
      <c r="DE234" s="65"/>
      <c r="DF234" s="13"/>
      <c r="DI234" s="65"/>
      <c r="DJ234" s="13"/>
      <c r="DM234" s="65"/>
      <c r="DN234" s="13"/>
      <c r="DQ234" s="65"/>
      <c r="DR234" s="13"/>
      <c r="DU234" s="65"/>
      <c r="DV234" s="13"/>
      <c r="DY234" s="65"/>
      <c r="DZ234" s="13"/>
      <c r="EA234" s="14"/>
      <c r="EC234" s="65"/>
      <c r="ED234" s="13"/>
      <c r="EE234" s="14"/>
      <c r="EG234" s="65"/>
      <c r="EH234" s="13"/>
      <c r="EI234" s="14"/>
      <c r="EK234" s="65"/>
      <c r="EL234" s="13"/>
      <c r="EM234" s="14"/>
      <c r="EO234" s="65"/>
      <c r="EP234" s="13"/>
      <c r="EQ234" s="14"/>
      <c r="ES234" s="65"/>
      <c r="ET234" s="13"/>
      <c r="EU234" s="14"/>
      <c r="EW234" s="65"/>
      <c r="EX234" s="13"/>
      <c r="EY234" s="14"/>
      <c r="FA234" s="65"/>
      <c r="FB234" s="13"/>
      <c r="FC234" s="14"/>
      <c r="FE234" s="65"/>
      <c r="FF234" s="13"/>
      <c r="FG234" s="14"/>
      <c r="FI234" s="65"/>
      <c r="FJ234" s="13"/>
      <c r="FK234" s="14"/>
      <c r="FM234" s="65"/>
      <c r="FN234" s="13"/>
      <c r="FO234" s="14"/>
      <c r="FQ234" s="65"/>
      <c r="FR234" s="13"/>
      <c r="FS234" s="14"/>
      <c r="FU234" s="65"/>
      <c r="FV234" s="13"/>
      <c r="FW234" s="14"/>
      <c r="FY234" s="65"/>
      <c r="FZ234" s="13"/>
      <c r="GA234" s="14"/>
      <c r="GC234" s="65"/>
      <c r="GD234" s="13"/>
      <c r="GE234" s="14"/>
      <c r="GG234" s="65"/>
      <c r="GH234" s="13"/>
      <c r="GI234" s="14"/>
      <c r="GK234" s="65"/>
      <c r="GL234" s="13"/>
      <c r="GM234" s="14"/>
      <c r="GO234" s="65"/>
      <c r="GP234" s="13"/>
      <c r="GQ234" s="14"/>
      <c r="GS234" s="65"/>
      <c r="GT234" s="13"/>
      <c r="GU234" s="14"/>
      <c r="GW234" s="65"/>
      <c r="GX234" s="13"/>
      <c r="GY234" s="14"/>
      <c r="HA234" s="65"/>
      <c r="HB234" s="13"/>
      <c r="HC234" s="14"/>
      <c r="HE234" s="65"/>
      <c r="HF234" s="13"/>
      <c r="HG234" s="14"/>
      <c r="HI234" s="65"/>
      <c r="HJ234" s="13"/>
      <c r="HK234" s="14"/>
      <c r="HM234" s="65"/>
      <c r="HN234" s="13"/>
      <c r="HO234" s="14"/>
      <c r="HQ234" s="65"/>
      <c r="HR234" s="13"/>
      <c r="HS234" s="14"/>
      <c r="HU234" s="65"/>
      <c r="HV234" s="13"/>
      <c r="HW234" s="14"/>
      <c r="HY234" s="65"/>
      <c r="HZ234" s="13"/>
      <c r="IA234" s="14"/>
      <c r="IC234" s="65"/>
      <c r="ID234" s="13"/>
      <c r="IE234" s="14"/>
      <c r="IG234" s="65"/>
      <c r="IH234" s="13"/>
      <c r="II234" s="14"/>
      <c r="IK234" s="65"/>
      <c r="IL234" s="13"/>
      <c r="IM234" s="14"/>
      <c r="IO234" s="65"/>
      <c r="IP234" s="13"/>
      <c r="IQ234" s="14"/>
      <c r="IS234" s="65"/>
      <c r="IT234" s="13"/>
      <c r="IU234" s="14"/>
      <c r="IW234" s="65"/>
      <c r="IX234" s="13"/>
      <c r="IY234" s="14"/>
      <c r="JA234" s="65"/>
      <c r="JB234" s="13"/>
      <c r="JC234" s="14"/>
      <c r="JE234" s="65"/>
      <c r="JF234" s="13"/>
      <c r="JG234" s="14"/>
      <c r="JI234" s="65"/>
      <c r="JJ234" s="13"/>
      <c r="JK234" s="14"/>
      <c r="JM234" s="65"/>
      <c r="JN234" s="13"/>
      <c r="JO234" s="14"/>
      <c r="JQ234" s="65"/>
      <c r="JR234" s="13"/>
      <c r="JS234" s="14"/>
      <c r="JU234" s="65"/>
      <c r="JV234" s="13"/>
      <c r="JW234" s="14"/>
      <c r="JY234" s="65"/>
      <c r="JZ234" s="13"/>
      <c r="KA234" s="14"/>
      <c r="KC234" s="65"/>
      <c r="KD234" s="13"/>
      <c r="KE234" s="14"/>
      <c r="KG234" s="65"/>
      <c r="KH234" s="13"/>
      <c r="KI234" s="14"/>
      <c r="KK234" s="65"/>
      <c r="KL234" s="13"/>
      <c r="KM234" s="14"/>
      <c r="KO234" s="65"/>
      <c r="KP234" s="13"/>
      <c r="KQ234" s="14"/>
      <c r="KS234" s="65"/>
      <c r="KT234" s="13"/>
      <c r="KU234" s="14"/>
      <c r="KW234" s="65"/>
      <c r="KX234" s="13"/>
      <c r="KY234" s="14"/>
      <c r="LA234" s="65"/>
      <c r="LB234" s="13"/>
      <c r="LC234" s="14"/>
      <c r="LE234" s="65"/>
      <c r="LF234" s="13"/>
      <c r="LG234" s="14"/>
      <c r="LI234" s="65"/>
      <c r="LJ234" s="13"/>
      <c r="LK234" s="14"/>
      <c r="LM234" s="65"/>
      <c r="LN234" s="13"/>
      <c r="LO234" s="14"/>
      <c r="LQ234" s="65"/>
      <c r="LR234" s="13"/>
      <c r="LS234" s="14"/>
      <c r="LU234" s="65"/>
      <c r="LV234" s="13"/>
      <c r="LW234" s="14"/>
      <c r="LY234" s="65"/>
      <c r="LZ234" s="13"/>
      <c r="MA234" s="14"/>
      <c r="MC234" s="65"/>
      <c r="MD234" s="13"/>
      <c r="ME234" s="14"/>
      <c r="MG234" s="65"/>
      <c r="MH234" s="13"/>
      <c r="MI234" s="14"/>
      <c r="MK234" s="65"/>
      <c r="ML234" s="13"/>
      <c r="MM234" s="14"/>
      <c r="MO234" s="65"/>
      <c r="MP234" s="13"/>
      <c r="MQ234" s="14"/>
      <c r="MS234" s="65"/>
      <c r="MT234" s="13"/>
      <c r="MU234" s="14"/>
    </row>
    <row r="235" spans="1:359" hidden="1" x14ac:dyDescent="0.25">
      <c r="A235" s="15">
        <f t="shared" si="193"/>
        <v>0</v>
      </c>
      <c r="B235" s="20">
        <v>42929</v>
      </c>
      <c r="C235"/>
      <c r="D235" s="12"/>
      <c r="E235" s="12"/>
      <c r="I235" s="12"/>
      <c r="J235" s="12"/>
      <c r="N235" s="12"/>
      <c r="O235" s="12"/>
      <c r="T235" s="15"/>
      <c r="U235" s="20"/>
      <c r="V235" s="36"/>
      <c r="W235" s="12"/>
      <c r="X235" s="12"/>
      <c r="AB235" s="12"/>
      <c r="AC235" s="12"/>
      <c r="AG235" s="12"/>
      <c r="AH235" s="12"/>
      <c r="AK235" s="12"/>
      <c r="AL235" s="13"/>
      <c r="AM235" s="14"/>
      <c r="CK235" s="65"/>
      <c r="CL235" s="13"/>
      <c r="CO235" s="65"/>
      <c r="CP235" s="13"/>
      <c r="CS235" s="65"/>
      <c r="CT235" s="13"/>
      <c r="CW235" s="65"/>
      <c r="CX235" s="13"/>
      <c r="DA235" s="65"/>
      <c r="DB235" s="13"/>
      <c r="DE235" s="65"/>
      <c r="DF235" s="13"/>
      <c r="DI235" s="65"/>
      <c r="DJ235" s="13"/>
      <c r="DM235" s="65"/>
      <c r="DN235" s="13"/>
      <c r="DQ235" s="65"/>
      <c r="DR235" s="13"/>
      <c r="DU235" s="65"/>
      <c r="DV235" s="13"/>
      <c r="DY235" s="65"/>
      <c r="DZ235" s="13"/>
      <c r="EA235" s="14"/>
      <c r="EC235" s="65"/>
      <c r="ED235" s="13"/>
      <c r="EE235" s="14"/>
      <c r="EG235" s="65"/>
      <c r="EH235" s="13"/>
      <c r="EI235" s="14"/>
      <c r="EK235" s="65"/>
      <c r="EL235" s="13"/>
      <c r="EM235" s="14"/>
      <c r="EO235" s="65"/>
      <c r="EP235" s="13"/>
      <c r="EQ235" s="14"/>
      <c r="ES235" s="65"/>
      <c r="ET235" s="13"/>
      <c r="EU235" s="14"/>
      <c r="EW235" s="65"/>
      <c r="EX235" s="13"/>
      <c r="EY235" s="14"/>
      <c r="FA235" s="65"/>
      <c r="FB235" s="13"/>
      <c r="FC235" s="14"/>
      <c r="FE235" s="65"/>
      <c r="FF235" s="13"/>
      <c r="FG235" s="14"/>
      <c r="FI235" s="65"/>
      <c r="FJ235" s="13"/>
      <c r="FK235" s="14"/>
      <c r="FM235" s="65"/>
      <c r="FN235" s="13"/>
      <c r="FO235" s="14"/>
      <c r="FQ235" s="65"/>
      <c r="FR235" s="13"/>
      <c r="FS235" s="14"/>
      <c r="FU235" s="65"/>
      <c r="FV235" s="13"/>
      <c r="FW235" s="14"/>
      <c r="FY235" s="65"/>
      <c r="FZ235" s="13"/>
      <c r="GA235" s="14"/>
      <c r="GC235" s="65"/>
      <c r="GD235" s="13"/>
      <c r="GE235" s="14"/>
      <c r="GG235" s="65"/>
      <c r="GH235" s="13"/>
      <c r="GI235" s="14"/>
      <c r="GK235" s="65"/>
      <c r="GL235" s="13"/>
      <c r="GM235" s="14"/>
      <c r="GO235" s="65"/>
      <c r="GP235" s="13"/>
      <c r="GQ235" s="14"/>
      <c r="GS235" s="65"/>
      <c r="GT235" s="13"/>
      <c r="GU235" s="14"/>
      <c r="GW235" s="65"/>
      <c r="GX235" s="13"/>
      <c r="GY235" s="14"/>
      <c r="HA235" s="65"/>
      <c r="HB235" s="13"/>
      <c r="HC235" s="14"/>
      <c r="HE235" s="65"/>
      <c r="HF235" s="13"/>
      <c r="HG235" s="14"/>
      <c r="HI235" s="65"/>
      <c r="HJ235" s="13"/>
      <c r="HK235" s="14"/>
      <c r="HM235" s="65"/>
      <c r="HN235" s="13"/>
      <c r="HO235" s="14"/>
      <c r="HQ235" s="65"/>
      <c r="HR235" s="13"/>
      <c r="HS235" s="14"/>
      <c r="HU235" s="65"/>
      <c r="HV235" s="13"/>
      <c r="HW235" s="14"/>
      <c r="HY235" s="65"/>
      <c r="HZ235" s="13"/>
      <c r="IA235" s="14"/>
      <c r="IC235" s="65"/>
      <c r="ID235" s="13"/>
      <c r="IE235" s="14"/>
      <c r="IG235" s="65"/>
      <c r="IH235" s="13"/>
      <c r="II235" s="14"/>
      <c r="IK235" s="65"/>
      <c r="IL235" s="13"/>
      <c r="IM235" s="14"/>
      <c r="IO235" s="65"/>
      <c r="IP235" s="13"/>
      <c r="IQ235" s="14"/>
      <c r="IS235" s="65"/>
      <c r="IT235" s="13"/>
      <c r="IU235" s="14"/>
      <c r="IW235" s="65"/>
      <c r="IX235" s="13"/>
      <c r="IY235" s="14"/>
      <c r="JA235" s="65"/>
      <c r="JB235" s="13"/>
      <c r="JC235" s="14"/>
      <c r="JE235" s="65"/>
      <c r="JF235" s="13"/>
      <c r="JG235" s="14"/>
      <c r="JI235" s="65"/>
      <c r="JJ235" s="13"/>
      <c r="JK235" s="14"/>
      <c r="JM235" s="65"/>
      <c r="JN235" s="13"/>
      <c r="JO235" s="14"/>
      <c r="JQ235" s="65"/>
      <c r="JR235" s="13"/>
      <c r="JS235" s="14"/>
      <c r="JU235" s="65"/>
      <c r="JV235" s="13"/>
      <c r="JW235" s="14"/>
      <c r="JY235" s="65"/>
      <c r="JZ235" s="13"/>
      <c r="KA235" s="14"/>
      <c r="KC235" s="65"/>
      <c r="KD235" s="13"/>
      <c r="KE235" s="14"/>
      <c r="KG235" s="65"/>
      <c r="KH235" s="13"/>
      <c r="KI235" s="14"/>
      <c r="KK235" s="65"/>
      <c r="KL235" s="13"/>
      <c r="KM235" s="14"/>
      <c r="KO235" s="65"/>
      <c r="KP235" s="13"/>
      <c r="KQ235" s="14"/>
      <c r="KS235" s="65"/>
      <c r="KT235" s="13"/>
      <c r="KU235" s="14"/>
      <c r="KW235" s="65"/>
      <c r="KX235" s="13"/>
      <c r="KY235" s="14"/>
      <c r="LA235" s="65"/>
      <c r="LB235" s="13"/>
      <c r="LC235" s="14"/>
      <c r="LE235" s="65"/>
      <c r="LF235" s="13"/>
      <c r="LG235" s="14"/>
      <c r="LI235" s="65"/>
      <c r="LJ235" s="13"/>
      <c r="LK235" s="14"/>
      <c r="LM235" s="65"/>
      <c r="LN235" s="13"/>
      <c r="LO235" s="14"/>
      <c r="LQ235" s="65"/>
      <c r="LR235" s="13"/>
      <c r="LS235" s="14"/>
      <c r="LU235" s="65"/>
      <c r="LV235" s="13"/>
      <c r="LW235" s="14"/>
      <c r="LY235" s="65"/>
      <c r="LZ235" s="13"/>
      <c r="MA235" s="14"/>
      <c r="MC235" s="65"/>
      <c r="MD235" s="13"/>
      <c r="ME235" s="14"/>
      <c r="MG235" s="65"/>
      <c r="MH235" s="13"/>
      <c r="MI235" s="14"/>
      <c r="MK235" s="65"/>
      <c r="ML235" s="13"/>
      <c r="MM235" s="14"/>
      <c r="MO235" s="65"/>
      <c r="MP235" s="13"/>
      <c r="MQ235" s="14"/>
      <c r="MS235" s="65"/>
      <c r="MT235" s="13"/>
      <c r="MU235" s="14"/>
    </row>
    <row r="236" spans="1:359" hidden="1" x14ac:dyDescent="0.25">
      <c r="A236" s="15">
        <f t="shared" si="193"/>
        <v>0</v>
      </c>
      <c r="B236" s="20">
        <v>42930</v>
      </c>
      <c r="C236"/>
      <c r="D236" s="12"/>
      <c r="E236" s="12"/>
      <c r="I236" s="12"/>
      <c r="J236" s="12"/>
      <c r="N236" s="12"/>
      <c r="O236" s="12"/>
      <c r="T236" s="15"/>
      <c r="U236" s="20"/>
      <c r="V236" s="36"/>
      <c r="W236" s="12"/>
      <c r="X236" s="12"/>
      <c r="AB236" s="12"/>
      <c r="AC236" s="12"/>
      <c r="AG236" s="12"/>
      <c r="AH236" s="12"/>
      <c r="AK236" s="12"/>
      <c r="AL236" s="13"/>
      <c r="AM236" s="14"/>
      <c r="CK236" s="65"/>
      <c r="CL236" s="13"/>
      <c r="CO236" s="65"/>
      <c r="CP236" s="13"/>
      <c r="CS236" s="65"/>
      <c r="CT236" s="13"/>
      <c r="CW236" s="65"/>
      <c r="CX236" s="13"/>
      <c r="DA236" s="65"/>
      <c r="DB236" s="13"/>
      <c r="DE236" s="65"/>
      <c r="DF236" s="13"/>
      <c r="DI236" s="65"/>
      <c r="DJ236" s="13"/>
      <c r="DM236" s="65"/>
      <c r="DN236" s="13"/>
      <c r="DQ236" s="65"/>
      <c r="DR236" s="13"/>
      <c r="DU236" s="65"/>
      <c r="DV236" s="13"/>
      <c r="DY236" s="65"/>
      <c r="DZ236" s="13"/>
      <c r="EA236" s="14"/>
      <c r="EC236" s="65"/>
      <c r="ED236" s="13"/>
      <c r="EE236" s="14"/>
      <c r="EG236" s="65"/>
      <c r="EH236" s="13"/>
      <c r="EI236" s="14"/>
      <c r="EK236" s="65"/>
      <c r="EL236" s="13"/>
      <c r="EM236" s="14"/>
      <c r="EO236" s="65"/>
      <c r="EP236" s="13"/>
      <c r="EQ236" s="14"/>
      <c r="ES236" s="65"/>
      <c r="ET236" s="13"/>
      <c r="EU236" s="14"/>
      <c r="EW236" s="65"/>
      <c r="EX236" s="13"/>
      <c r="EY236" s="14"/>
      <c r="FA236" s="65"/>
      <c r="FB236" s="13"/>
      <c r="FC236" s="14"/>
      <c r="FE236" s="65"/>
      <c r="FF236" s="13"/>
      <c r="FG236" s="14"/>
      <c r="FI236" s="65"/>
      <c r="FJ236" s="13"/>
      <c r="FK236" s="14"/>
      <c r="FM236" s="65"/>
      <c r="FN236" s="13"/>
      <c r="FO236" s="14"/>
      <c r="FQ236" s="65"/>
      <c r="FR236" s="13"/>
      <c r="FS236" s="14"/>
      <c r="FU236" s="65"/>
      <c r="FV236" s="13"/>
      <c r="FW236" s="14"/>
      <c r="FY236" s="65"/>
      <c r="FZ236" s="13"/>
      <c r="GA236" s="14"/>
      <c r="GC236" s="65"/>
      <c r="GD236" s="13"/>
      <c r="GE236" s="14"/>
      <c r="GG236" s="65"/>
      <c r="GH236" s="13"/>
      <c r="GI236" s="14"/>
      <c r="GK236" s="65"/>
      <c r="GL236" s="13"/>
      <c r="GM236" s="14"/>
      <c r="GO236" s="65"/>
      <c r="GP236" s="13"/>
      <c r="GQ236" s="14"/>
      <c r="GS236" s="65"/>
      <c r="GT236" s="13"/>
      <c r="GU236" s="14"/>
      <c r="GW236" s="65"/>
      <c r="GX236" s="13"/>
      <c r="GY236" s="14"/>
      <c r="HA236" s="65"/>
      <c r="HB236" s="13"/>
      <c r="HC236" s="14"/>
      <c r="HE236" s="65"/>
      <c r="HF236" s="13"/>
      <c r="HG236" s="14"/>
      <c r="HI236" s="65"/>
      <c r="HJ236" s="13"/>
      <c r="HK236" s="14"/>
      <c r="HM236" s="65"/>
      <c r="HN236" s="13"/>
      <c r="HO236" s="14"/>
      <c r="HQ236" s="65"/>
      <c r="HR236" s="13"/>
      <c r="HS236" s="14"/>
      <c r="HU236" s="65"/>
      <c r="HV236" s="13"/>
      <c r="HW236" s="14"/>
      <c r="HY236" s="65"/>
      <c r="HZ236" s="13"/>
      <c r="IA236" s="14"/>
      <c r="IC236" s="65"/>
      <c r="ID236" s="13"/>
      <c r="IE236" s="14"/>
      <c r="IG236" s="65"/>
      <c r="IH236" s="13"/>
      <c r="II236" s="14"/>
      <c r="IK236" s="65"/>
      <c r="IL236" s="13"/>
      <c r="IM236" s="14"/>
      <c r="IO236" s="65"/>
      <c r="IP236" s="13"/>
      <c r="IQ236" s="14"/>
      <c r="IS236" s="65"/>
      <c r="IT236" s="13"/>
      <c r="IU236" s="14"/>
      <c r="IW236" s="65"/>
      <c r="IX236" s="13"/>
      <c r="IY236" s="14"/>
      <c r="JA236" s="65"/>
      <c r="JB236" s="13"/>
      <c r="JC236" s="14"/>
      <c r="JE236" s="65"/>
      <c r="JF236" s="13"/>
      <c r="JG236" s="14"/>
      <c r="JI236" s="65"/>
      <c r="JJ236" s="13"/>
      <c r="JK236" s="14"/>
      <c r="JM236" s="65"/>
      <c r="JN236" s="13"/>
      <c r="JO236" s="14"/>
      <c r="JQ236" s="65"/>
      <c r="JR236" s="13"/>
      <c r="JS236" s="14"/>
      <c r="JU236" s="65"/>
      <c r="JV236" s="13"/>
      <c r="JW236" s="14"/>
      <c r="JY236" s="65"/>
      <c r="JZ236" s="13"/>
      <c r="KA236" s="14"/>
      <c r="KC236" s="65"/>
      <c r="KD236" s="13"/>
      <c r="KE236" s="14"/>
      <c r="KG236" s="65"/>
      <c r="KH236" s="13"/>
      <c r="KI236" s="14"/>
      <c r="KK236" s="65"/>
      <c r="KL236" s="13"/>
      <c r="KM236" s="14"/>
      <c r="KO236" s="65"/>
      <c r="KP236" s="13"/>
      <c r="KQ236" s="14"/>
      <c r="KS236" s="65"/>
      <c r="KT236" s="13"/>
      <c r="KU236" s="14"/>
      <c r="KW236" s="65"/>
      <c r="KX236" s="13"/>
      <c r="KY236" s="14"/>
      <c r="LA236" s="65"/>
      <c r="LB236" s="13"/>
      <c r="LC236" s="14"/>
      <c r="LE236" s="65"/>
      <c r="LF236" s="13"/>
      <c r="LG236" s="14"/>
      <c r="LI236" s="65"/>
      <c r="LJ236" s="13"/>
      <c r="LK236" s="14"/>
      <c r="LM236" s="65"/>
      <c r="LN236" s="13"/>
      <c r="LO236" s="14"/>
      <c r="LQ236" s="65"/>
      <c r="LR236" s="13"/>
      <c r="LS236" s="14"/>
      <c r="LU236" s="65"/>
      <c r="LV236" s="13"/>
      <c r="LW236" s="14"/>
      <c r="LY236" s="65"/>
      <c r="LZ236" s="13"/>
      <c r="MA236" s="14"/>
      <c r="MC236" s="65"/>
      <c r="MD236" s="13"/>
      <c r="ME236" s="14"/>
      <c r="MG236" s="65"/>
      <c r="MH236" s="13"/>
      <c r="MI236" s="14"/>
      <c r="MK236" s="65"/>
      <c r="ML236" s="13"/>
      <c r="MM236" s="14"/>
      <c r="MO236" s="65"/>
      <c r="MP236" s="13"/>
      <c r="MQ236" s="14"/>
      <c r="MS236" s="65"/>
      <c r="MT236" s="13"/>
      <c r="MU236" s="14"/>
    </row>
    <row r="237" spans="1:359" hidden="1" x14ac:dyDescent="0.25">
      <c r="A237" s="15">
        <f t="shared" si="193"/>
        <v>0</v>
      </c>
      <c r="B237" s="20">
        <v>42931</v>
      </c>
      <c r="C237"/>
      <c r="D237" s="12"/>
      <c r="E237" s="12"/>
      <c r="I237" s="12"/>
      <c r="J237" s="12"/>
      <c r="N237" s="12"/>
      <c r="O237" s="12"/>
      <c r="T237" s="15"/>
      <c r="U237" s="20"/>
      <c r="V237" s="36"/>
      <c r="W237" s="12"/>
      <c r="X237" s="12"/>
      <c r="AB237" s="12"/>
      <c r="AC237" s="12"/>
      <c r="AG237" s="12"/>
      <c r="AH237" s="12"/>
      <c r="AK237" s="12"/>
      <c r="AL237" s="13"/>
      <c r="AM237" s="14"/>
      <c r="CK237" s="65"/>
      <c r="CL237" s="13"/>
      <c r="CO237" s="65"/>
      <c r="CP237" s="13"/>
      <c r="CS237" s="65"/>
      <c r="CT237" s="13"/>
      <c r="CW237" s="65"/>
      <c r="CX237" s="13"/>
      <c r="DA237" s="65"/>
      <c r="DB237" s="13"/>
      <c r="DE237" s="65"/>
      <c r="DF237" s="13"/>
      <c r="DI237" s="65"/>
      <c r="DJ237" s="13"/>
      <c r="DM237" s="65"/>
      <c r="DN237" s="13"/>
      <c r="DQ237" s="65"/>
      <c r="DR237" s="13"/>
      <c r="DU237" s="65"/>
      <c r="DV237" s="13"/>
      <c r="DY237" s="65"/>
      <c r="DZ237" s="13"/>
      <c r="EA237" s="14"/>
      <c r="EC237" s="65"/>
      <c r="ED237" s="13"/>
      <c r="EE237" s="14"/>
      <c r="EG237" s="65"/>
      <c r="EH237" s="13"/>
      <c r="EI237" s="14"/>
      <c r="EK237" s="65"/>
      <c r="EL237" s="13"/>
      <c r="EM237" s="14"/>
      <c r="EO237" s="65"/>
      <c r="EP237" s="13"/>
      <c r="EQ237" s="14"/>
      <c r="ES237" s="65"/>
      <c r="ET237" s="13"/>
      <c r="EU237" s="14"/>
      <c r="EW237" s="65"/>
      <c r="EX237" s="13"/>
      <c r="EY237" s="14"/>
      <c r="FA237" s="65"/>
      <c r="FB237" s="13"/>
      <c r="FC237" s="14"/>
      <c r="FE237" s="65"/>
      <c r="FF237" s="13"/>
      <c r="FG237" s="14"/>
      <c r="FI237" s="65"/>
      <c r="FJ237" s="13"/>
      <c r="FK237" s="14"/>
      <c r="FM237" s="65"/>
      <c r="FN237" s="13"/>
      <c r="FO237" s="14"/>
      <c r="FQ237" s="65"/>
      <c r="FR237" s="13"/>
      <c r="FS237" s="14"/>
      <c r="FU237" s="65"/>
      <c r="FV237" s="13"/>
      <c r="FW237" s="14"/>
      <c r="FY237" s="65"/>
      <c r="FZ237" s="13"/>
      <c r="GA237" s="14"/>
      <c r="GC237" s="65"/>
      <c r="GD237" s="13"/>
      <c r="GE237" s="14"/>
      <c r="GG237" s="65"/>
      <c r="GH237" s="13"/>
      <c r="GI237" s="14"/>
      <c r="GK237" s="65"/>
      <c r="GL237" s="13"/>
      <c r="GM237" s="14"/>
      <c r="GO237" s="65"/>
      <c r="GP237" s="13"/>
      <c r="GQ237" s="14"/>
      <c r="GS237" s="65"/>
      <c r="GT237" s="13"/>
      <c r="GU237" s="14"/>
      <c r="GW237" s="65"/>
      <c r="GX237" s="13"/>
      <c r="GY237" s="14"/>
      <c r="HA237" s="65"/>
      <c r="HB237" s="13"/>
      <c r="HC237" s="14"/>
      <c r="HE237" s="65"/>
      <c r="HF237" s="13"/>
      <c r="HG237" s="14"/>
      <c r="HI237" s="65"/>
      <c r="HJ237" s="13"/>
      <c r="HK237" s="14"/>
      <c r="HM237" s="65"/>
      <c r="HN237" s="13"/>
      <c r="HO237" s="14"/>
      <c r="HQ237" s="65"/>
      <c r="HR237" s="13"/>
      <c r="HS237" s="14"/>
      <c r="HU237" s="65"/>
      <c r="HV237" s="13"/>
      <c r="HW237" s="14"/>
      <c r="HY237" s="65"/>
      <c r="HZ237" s="13"/>
      <c r="IA237" s="14"/>
      <c r="IC237" s="65"/>
      <c r="ID237" s="13"/>
      <c r="IE237" s="14"/>
      <c r="IG237" s="65"/>
      <c r="IH237" s="13"/>
      <c r="II237" s="14"/>
      <c r="IK237" s="65"/>
      <c r="IL237" s="13"/>
      <c r="IM237" s="14"/>
      <c r="IO237" s="65"/>
      <c r="IP237" s="13"/>
      <c r="IQ237" s="14"/>
      <c r="IS237" s="65"/>
      <c r="IT237" s="13"/>
      <c r="IU237" s="14"/>
      <c r="IW237" s="65"/>
      <c r="IX237" s="13"/>
      <c r="IY237" s="14"/>
      <c r="JA237" s="65"/>
      <c r="JB237" s="13"/>
      <c r="JC237" s="14"/>
      <c r="JE237" s="65"/>
      <c r="JF237" s="13"/>
      <c r="JG237" s="14"/>
      <c r="JI237" s="65"/>
      <c r="JJ237" s="13"/>
      <c r="JK237" s="14"/>
      <c r="JM237" s="65"/>
      <c r="JN237" s="13"/>
      <c r="JO237" s="14"/>
      <c r="JQ237" s="65"/>
      <c r="JR237" s="13"/>
      <c r="JS237" s="14"/>
      <c r="JU237" s="65"/>
      <c r="JV237" s="13"/>
      <c r="JW237" s="14"/>
      <c r="JY237" s="65"/>
      <c r="JZ237" s="13"/>
      <c r="KA237" s="14"/>
      <c r="KC237" s="65"/>
      <c r="KD237" s="13"/>
      <c r="KE237" s="14"/>
      <c r="KG237" s="65"/>
      <c r="KH237" s="13"/>
      <c r="KI237" s="14"/>
      <c r="KK237" s="65"/>
      <c r="KL237" s="13"/>
      <c r="KM237" s="14"/>
      <c r="KO237" s="65"/>
      <c r="KP237" s="13"/>
      <c r="KQ237" s="14"/>
      <c r="KS237" s="65"/>
      <c r="KT237" s="13"/>
      <c r="KU237" s="14"/>
      <c r="KW237" s="65"/>
      <c r="KX237" s="13"/>
      <c r="KY237" s="14"/>
      <c r="LA237" s="65"/>
      <c r="LB237" s="13"/>
      <c r="LC237" s="14"/>
      <c r="LE237" s="65"/>
      <c r="LF237" s="13"/>
      <c r="LG237" s="14"/>
      <c r="LI237" s="65"/>
      <c r="LJ237" s="13"/>
      <c r="LK237" s="14"/>
      <c r="LM237" s="65"/>
      <c r="LN237" s="13"/>
      <c r="LO237" s="14"/>
      <c r="LQ237" s="65"/>
      <c r="LR237" s="13"/>
      <c r="LS237" s="14"/>
      <c r="LU237" s="65"/>
      <c r="LV237" s="13"/>
      <c r="LW237" s="14"/>
      <c r="LY237" s="65"/>
      <c r="LZ237" s="13"/>
      <c r="MA237" s="14"/>
      <c r="MC237" s="65"/>
      <c r="MD237" s="13"/>
      <c r="ME237" s="14"/>
      <c r="MG237" s="65"/>
      <c r="MH237" s="13"/>
      <c r="MI237" s="14"/>
      <c r="MK237" s="65"/>
      <c r="ML237" s="13"/>
      <c r="MM237" s="14"/>
      <c r="MO237" s="65"/>
      <c r="MP237" s="13"/>
      <c r="MQ237" s="14"/>
      <c r="MS237" s="65"/>
      <c r="MT237" s="13"/>
      <c r="MU237" s="14"/>
    </row>
    <row r="238" spans="1:359" hidden="1" x14ac:dyDescent="0.25">
      <c r="A238" s="15">
        <f t="shared" si="193"/>
        <v>0</v>
      </c>
      <c r="B238" s="20">
        <v>42932</v>
      </c>
      <c r="C238"/>
      <c r="D238" s="12"/>
      <c r="E238" s="12"/>
      <c r="I238" s="12"/>
      <c r="J238" s="12"/>
      <c r="N238" s="12"/>
      <c r="O238" s="12"/>
      <c r="T238" s="15"/>
      <c r="U238" s="20"/>
      <c r="V238" s="36"/>
      <c r="W238" s="12"/>
      <c r="X238" s="12"/>
      <c r="AB238" s="12"/>
      <c r="AC238" s="12"/>
      <c r="AG238" s="12"/>
      <c r="AH238" s="12"/>
      <c r="AK238" s="12"/>
      <c r="AL238" s="13"/>
      <c r="AM238" s="14"/>
      <c r="CK238" s="65"/>
      <c r="CL238" s="13"/>
      <c r="CO238" s="65"/>
      <c r="CP238" s="13"/>
      <c r="CS238" s="65"/>
      <c r="CT238" s="13"/>
      <c r="CW238" s="65"/>
      <c r="CX238" s="13"/>
      <c r="DA238" s="65"/>
      <c r="DB238" s="13"/>
      <c r="DE238" s="65"/>
      <c r="DF238" s="13"/>
      <c r="DI238" s="65"/>
      <c r="DJ238" s="13"/>
      <c r="DM238" s="65"/>
      <c r="DN238" s="13"/>
      <c r="DQ238" s="65"/>
      <c r="DR238" s="13"/>
      <c r="DU238" s="65"/>
      <c r="DV238" s="13"/>
      <c r="DY238" s="65"/>
      <c r="DZ238" s="13"/>
      <c r="EA238" s="14"/>
      <c r="EC238" s="65"/>
      <c r="ED238" s="13"/>
      <c r="EE238" s="14"/>
      <c r="EG238" s="65"/>
      <c r="EH238" s="13"/>
      <c r="EI238" s="14"/>
      <c r="EK238" s="65"/>
      <c r="EL238" s="13"/>
      <c r="EM238" s="14"/>
      <c r="EO238" s="65"/>
      <c r="EP238" s="13"/>
      <c r="EQ238" s="14"/>
      <c r="ES238" s="65"/>
      <c r="ET238" s="13"/>
      <c r="EU238" s="14"/>
      <c r="EW238" s="65"/>
      <c r="EX238" s="13"/>
      <c r="EY238" s="14"/>
      <c r="FA238" s="65"/>
      <c r="FB238" s="13"/>
      <c r="FC238" s="14"/>
      <c r="FE238" s="65"/>
      <c r="FF238" s="13"/>
      <c r="FG238" s="14"/>
      <c r="FI238" s="65"/>
      <c r="FJ238" s="13"/>
      <c r="FK238" s="14"/>
      <c r="FM238" s="65"/>
      <c r="FN238" s="13"/>
      <c r="FO238" s="14"/>
      <c r="FQ238" s="65"/>
      <c r="FR238" s="13"/>
      <c r="FS238" s="14"/>
      <c r="FU238" s="65"/>
      <c r="FV238" s="13"/>
      <c r="FW238" s="14"/>
      <c r="FY238" s="65"/>
      <c r="FZ238" s="13"/>
      <c r="GA238" s="14"/>
      <c r="GC238" s="65"/>
      <c r="GD238" s="13"/>
      <c r="GE238" s="14"/>
      <c r="GG238" s="65"/>
      <c r="GH238" s="13"/>
      <c r="GI238" s="14"/>
      <c r="GK238" s="65"/>
      <c r="GL238" s="13"/>
      <c r="GM238" s="14"/>
      <c r="GO238" s="65"/>
      <c r="GP238" s="13"/>
      <c r="GQ238" s="14"/>
      <c r="GS238" s="65"/>
      <c r="GT238" s="13"/>
      <c r="GU238" s="14"/>
      <c r="GW238" s="65"/>
      <c r="GX238" s="13"/>
      <c r="GY238" s="14"/>
      <c r="HA238" s="65"/>
      <c r="HB238" s="13"/>
      <c r="HC238" s="14"/>
      <c r="HE238" s="65"/>
      <c r="HF238" s="13"/>
      <c r="HG238" s="14"/>
      <c r="HI238" s="65"/>
      <c r="HJ238" s="13"/>
      <c r="HK238" s="14"/>
      <c r="HM238" s="65"/>
      <c r="HN238" s="13"/>
      <c r="HO238" s="14"/>
      <c r="HQ238" s="65"/>
      <c r="HR238" s="13"/>
      <c r="HS238" s="14"/>
      <c r="HU238" s="65"/>
      <c r="HV238" s="13"/>
      <c r="HW238" s="14"/>
      <c r="HY238" s="65"/>
      <c r="HZ238" s="13"/>
      <c r="IA238" s="14"/>
      <c r="IC238" s="65"/>
      <c r="ID238" s="13"/>
      <c r="IE238" s="14"/>
      <c r="IG238" s="65"/>
      <c r="IH238" s="13"/>
      <c r="II238" s="14"/>
      <c r="IK238" s="65"/>
      <c r="IL238" s="13"/>
      <c r="IM238" s="14"/>
      <c r="IO238" s="65"/>
      <c r="IP238" s="13"/>
      <c r="IQ238" s="14"/>
      <c r="IS238" s="65"/>
      <c r="IT238" s="13"/>
      <c r="IU238" s="14"/>
      <c r="IW238" s="65"/>
      <c r="IX238" s="13"/>
      <c r="IY238" s="14"/>
      <c r="JA238" s="65"/>
      <c r="JB238" s="13"/>
      <c r="JC238" s="14"/>
      <c r="JE238" s="65"/>
      <c r="JF238" s="13"/>
      <c r="JG238" s="14"/>
      <c r="JI238" s="65"/>
      <c r="JJ238" s="13"/>
      <c r="JK238" s="14"/>
      <c r="JM238" s="65"/>
      <c r="JN238" s="13"/>
      <c r="JO238" s="14"/>
      <c r="JQ238" s="65"/>
      <c r="JR238" s="13"/>
      <c r="JS238" s="14"/>
      <c r="JU238" s="65"/>
      <c r="JV238" s="13"/>
      <c r="JW238" s="14"/>
      <c r="JY238" s="65"/>
      <c r="JZ238" s="13"/>
      <c r="KA238" s="14"/>
      <c r="KC238" s="65"/>
      <c r="KD238" s="13"/>
      <c r="KE238" s="14"/>
      <c r="KG238" s="65"/>
      <c r="KH238" s="13"/>
      <c r="KI238" s="14"/>
      <c r="KK238" s="65"/>
      <c r="KL238" s="13"/>
      <c r="KM238" s="14"/>
      <c r="KO238" s="65"/>
      <c r="KP238" s="13"/>
      <c r="KQ238" s="14"/>
      <c r="KS238" s="65"/>
      <c r="KT238" s="13"/>
      <c r="KU238" s="14"/>
      <c r="KW238" s="65"/>
      <c r="KX238" s="13"/>
      <c r="KY238" s="14"/>
      <c r="LA238" s="65"/>
      <c r="LB238" s="13"/>
      <c r="LC238" s="14"/>
      <c r="LE238" s="65"/>
      <c r="LF238" s="13"/>
      <c r="LG238" s="14"/>
      <c r="LI238" s="65"/>
      <c r="LJ238" s="13"/>
      <c r="LK238" s="14"/>
      <c r="LM238" s="65"/>
      <c r="LN238" s="13"/>
      <c r="LO238" s="14"/>
      <c r="LQ238" s="65"/>
      <c r="LR238" s="13"/>
      <c r="LS238" s="14"/>
      <c r="LU238" s="65"/>
      <c r="LV238" s="13"/>
      <c r="LW238" s="14"/>
      <c r="LY238" s="65"/>
      <c r="LZ238" s="13"/>
      <c r="MA238" s="14"/>
      <c r="MC238" s="65"/>
      <c r="MD238" s="13"/>
      <c r="ME238" s="14"/>
      <c r="MG238" s="65"/>
      <c r="MH238" s="13"/>
      <c r="MI238" s="14"/>
      <c r="MK238" s="65"/>
      <c r="ML238" s="13"/>
      <c r="MM238" s="14"/>
      <c r="MO238" s="65"/>
      <c r="MP238" s="13"/>
      <c r="MQ238" s="14"/>
      <c r="MS238" s="65"/>
      <c r="MT238" s="13"/>
      <c r="MU238" s="14"/>
    </row>
    <row r="239" spans="1:359" hidden="1" x14ac:dyDescent="0.25">
      <c r="A239" s="15">
        <f t="shared" si="193"/>
        <v>0</v>
      </c>
      <c r="B239" s="20">
        <v>42933</v>
      </c>
      <c r="C239"/>
      <c r="D239" s="12"/>
      <c r="E239" s="12"/>
      <c r="I239" s="12"/>
      <c r="J239" s="12"/>
      <c r="N239" s="12"/>
      <c r="O239" s="12"/>
      <c r="T239" s="15"/>
      <c r="U239" s="20"/>
      <c r="V239" s="36"/>
      <c r="W239" s="12"/>
      <c r="X239" s="12"/>
      <c r="AB239" s="12"/>
      <c r="AC239" s="12"/>
      <c r="AG239" s="12"/>
      <c r="AH239" s="12"/>
      <c r="AK239" s="12"/>
      <c r="AL239" s="13"/>
      <c r="AM239" s="14"/>
      <c r="CK239" s="65"/>
      <c r="CL239" s="13"/>
      <c r="CO239" s="65"/>
      <c r="CP239" s="13"/>
      <c r="CS239" s="65"/>
      <c r="CT239" s="13"/>
      <c r="CW239" s="65"/>
      <c r="CX239" s="13"/>
      <c r="DA239" s="65"/>
      <c r="DB239" s="13"/>
      <c r="DE239" s="65"/>
      <c r="DF239" s="13"/>
      <c r="DI239" s="65"/>
      <c r="DJ239" s="13"/>
      <c r="DM239" s="65"/>
      <c r="DN239" s="13"/>
      <c r="DQ239" s="65"/>
      <c r="DR239" s="13"/>
      <c r="DU239" s="65"/>
      <c r="DV239" s="13"/>
      <c r="DY239" s="65"/>
      <c r="DZ239" s="13"/>
      <c r="EA239" s="14"/>
      <c r="EC239" s="65"/>
      <c r="ED239" s="13"/>
      <c r="EE239" s="14"/>
      <c r="EG239" s="65"/>
      <c r="EH239" s="13"/>
      <c r="EI239" s="14"/>
      <c r="EK239" s="65"/>
      <c r="EL239" s="13"/>
      <c r="EM239" s="14"/>
      <c r="EO239" s="65"/>
      <c r="EP239" s="13"/>
      <c r="EQ239" s="14"/>
      <c r="ES239" s="65"/>
      <c r="ET239" s="13"/>
      <c r="EU239" s="14"/>
      <c r="EW239" s="65"/>
      <c r="EX239" s="13"/>
      <c r="EY239" s="14"/>
      <c r="FA239" s="65"/>
      <c r="FB239" s="13"/>
      <c r="FC239" s="14"/>
      <c r="FE239" s="65"/>
      <c r="FF239" s="13"/>
      <c r="FG239" s="14"/>
      <c r="FI239" s="65"/>
      <c r="FJ239" s="13"/>
      <c r="FK239" s="14"/>
      <c r="FM239" s="65"/>
      <c r="FN239" s="13"/>
      <c r="FO239" s="14"/>
      <c r="FQ239" s="65"/>
      <c r="FR239" s="13"/>
      <c r="FS239" s="14"/>
      <c r="FU239" s="65"/>
      <c r="FV239" s="13"/>
      <c r="FW239" s="14"/>
      <c r="FY239" s="65"/>
      <c r="FZ239" s="13"/>
      <c r="GA239" s="14"/>
      <c r="GC239" s="65"/>
      <c r="GD239" s="13"/>
      <c r="GE239" s="14"/>
      <c r="GG239" s="65"/>
      <c r="GH239" s="13"/>
      <c r="GI239" s="14"/>
      <c r="GK239" s="65"/>
      <c r="GL239" s="13"/>
      <c r="GM239" s="14"/>
      <c r="GO239" s="65"/>
      <c r="GP239" s="13"/>
      <c r="GQ239" s="14"/>
      <c r="GS239" s="65"/>
      <c r="GT239" s="13"/>
      <c r="GU239" s="14"/>
      <c r="GW239" s="65"/>
      <c r="GX239" s="13"/>
      <c r="GY239" s="14"/>
      <c r="HA239" s="65"/>
      <c r="HB239" s="13"/>
      <c r="HC239" s="14"/>
      <c r="HE239" s="65"/>
      <c r="HF239" s="13"/>
      <c r="HG239" s="14"/>
      <c r="HI239" s="65"/>
      <c r="HJ239" s="13"/>
      <c r="HK239" s="14"/>
      <c r="HM239" s="65"/>
      <c r="HN239" s="13"/>
      <c r="HO239" s="14"/>
      <c r="HQ239" s="65"/>
      <c r="HR239" s="13"/>
      <c r="HS239" s="14"/>
      <c r="HU239" s="65"/>
      <c r="HV239" s="13"/>
      <c r="HW239" s="14"/>
      <c r="HY239" s="65"/>
      <c r="HZ239" s="13"/>
      <c r="IA239" s="14"/>
      <c r="IC239" s="65"/>
      <c r="ID239" s="13"/>
      <c r="IE239" s="14"/>
      <c r="IG239" s="65"/>
      <c r="IH239" s="13"/>
      <c r="II239" s="14"/>
      <c r="IK239" s="65"/>
      <c r="IL239" s="13"/>
      <c r="IM239" s="14"/>
      <c r="IO239" s="65"/>
      <c r="IP239" s="13"/>
      <c r="IQ239" s="14"/>
      <c r="IS239" s="65"/>
      <c r="IT239" s="13"/>
      <c r="IU239" s="14"/>
      <c r="IW239" s="65"/>
      <c r="IX239" s="13"/>
      <c r="IY239" s="14"/>
      <c r="JA239" s="65"/>
      <c r="JB239" s="13"/>
      <c r="JC239" s="14"/>
      <c r="JE239" s="65"/>
      <c r="JF239" s="13"/>
      <c r="JG239" s="14"/>
      <c r="JI239" s="65"/>
      <c r="JJ239" s="13"/>
      <c r="JK239" s="14"/>
      <c r="JM239" s="65"/>
      <c r="JN239" s="13"/>
      <c r="JO239" s="14"/>
      <c r="JQ239" s="65"/>
      <c r="JR239" s="13"/>
      <c r="JS239" s="14"/>
      <c r="JU239" s="65"/>
      <c r="JV239" s="13"/>
      <c r="JW239" s="14"/>
      <c r="JY239" s="65"/>
      <c r="JZ239" s="13"/>
      <c r="KA239" s="14"/>
      <c r="KC239" s="65"/>
      <c r="KD239" s="13"/>
      <c r="KE239" s="14"/>
      <c r="KG239" s="65"/>
      <c r="KH239" s="13"/>
      <c r="KI239" s="14"/>
      <c r="KK239" s="65"/>
      <c r="KL239" s="13"/>
      <c r="KM239" s="14"/>
      <c r="KO239" s="65"/>
      <c r="KP239" s="13"/>
      <c r="KQ239" s="14"/>
      <c r="KS239" s="65"/>
      <c r="KT239" s="13"/>
      <c r="KU239" s="14"/>
      <c r="KW239" s="65"/>
      <c r="KX239" s="13"/>
      <c r="KY239" s="14"/>
      <c r="LA239" s="65"/>
      <c r="LB239" s="13"/>
      <c r="LC239" s="14"/>
      <c r="LE239" s="65"/>
      <c r="LF239" s="13"/>
      <c r="LG239" s="14"/>
      <c r="LI239" s="65"/>
      <c r="LJ239" s="13"/>
      <c r="LK239" s="14"/>
      <c r="LM239" s="65"/>
      <c r="LN239" s="13"/>
      <c r="LO239" s="14"/>
      <c r="LQ239" s="65"/>
      <c r="LR239" s="13"/>
      <c r="LS239" s="14"/>
      <c r="LU239" s="65"/>
      <c r="LV239" s="13"/>
      <c r="LW239" s="14"/>
      <c r="LY239" s="65"/>
      <c r="LZ239" s="13"/>
      <c r="MA239" s="14"/>
      <c r="MC239" s="65"/>
      <c r="MD239" s="13"/>
      <c r="ME239" s="14"/>
      <c r="MG239" s="65"/>
      <c r="MH239" s="13"/>
      <c r="MI239" s="14"/>
      <c r="MK239" s="65"/>
      <c r="ML239" s="13"/>
      <c r="MM239" s="14"/>
      <c r="MO239" s="65"/>
      <c r="MP239" s="13"/>
      <c r="MQ239" s="14"/>
      <c r="MS239" s="65"/>
      <c r="MT239" s="13"/>
      <c r="MU239" s="14"/>
    </row>
    <row r="240" spans="1:359" hidden="1" x14ac:dyDescent="0.25">
      <c r="A240" s="15">
        <f t="shared" si="193"/>
        <v>0</v>
      </c>
      <c r="B240" s="20">
        <v>42934</v>
      </c>
      <c r="C240"/>
      <c r="D240" s="12"/>
      <c r="E240" s="12"/>
      <c r="I240" s="12"/>
      <c r="J240" s="12"/>
      <c r="N240" s="12"/>
      <c r="O240" s="12"/>
      <c r="T240" s="15"/>
      <c r="U240" s="20"/>
      <c r="V240" s="36"/>
      <c r="W240" s="12"/>
      <c r="X240" s="12"/>
      <c r="AB240" s="12"/>
      <c r="AC240" s="12"/>
      <c r="AG240" s="12"/>
      <c r="AH240" s="12"/>
      <c r="AK240" s="12"/>
      <c r="AL240" s="13"/>
      <c r="AM240" s="14"/>
      <c r="CK240" s="65"/>
      <c r="CL240" s="13"/>
      <c r="CO240" s="65"/>
      <c r="CP240" s="13"/>
      <c r="CS240" s="65"/>
      <c r="CT240" s="13"/>
      <c r="CW240" s="65"/>
      <c r="CX240" s="13"/>
      <c r="DA240" s="65"/>
      <c r="DB240" s="13"/>
      <c r="DE240" s="65"/>
      <c r="DF240" s="13"/>
      <c r="DI240" s="65"/>
      <c r="DJ240" s="13"/>
      <c r="DM240" s="65"/>
      <c r="DN240" s="13"/>
      <c r="DQ240" s="65"/>
      <c r="DR240" s="13"/>
      <c r="DU240" s="65"/>
      <c r="DV240" s="13"/>
      <c r="DY240" s="65"/>
      <c r="DZ240" s="13"/>
      <c r="EA240" s="14"/>
      <c r="EC240" s="65"/>
      <c r="ED240" s="13"/>
      <c r="EE240" s="14"/>
      <c r="EG240" s="65"/>
      <c r="EH240" s="13"/>
      <c r="EI240" s="14"/>
      <c r="EK240" s="65"/>
      <c r="EL240" s="13"/>
      <c r="EM240" s="14"/>
      <c r="EO240" s="65"/>
      <c r="EP240" s="13"/>
      <c r="EQ240" s="14"/>
      <c r="ES240" s="65"/>
      <c r="ET240" s="13"/>
      <c r="EU240" s="14"/>
      <c r="EW240" s="65"/>
      <c r="EX240" s="13"/>
      <c r="EY240" s="14"/>
      <c r="FA240" s="65"/>
      <c r="FB240" s="13"/>
      <c r="FC240" s="14"/>
      <c r="FE240" s="65"/>
      <c r="FF240" s="13"/>
      <c r="FG240" s="14"/>
      <c r="FI240" s="65"/>
      <c r="FJ240" s="13"/>
      <c r="FK240" s="14"/>
      <c r="FM240" s="65"/>
      <c r="FN240" s="13"/>
      <c r="FO240" s="14"/>
      <c r="FQ240" s="65"/>
      <c r="FR240" s="13"/>
      <c r="FS240" s="14"/>
      <c r="FU240" s="65"/>
      <c r="FV240" s="13"/>
      <c r="FW240" s="14"/>
      <c r="FY240" s="65"/>
      <c r="FZ240" s="13"/>
      <c r="GA240" s="14"/>
      <c r="GC240" s="65"/>
      <c r="GD240" s="13"/>
      <c r="GE240" s="14"/>
      <c r="GG240" s="65"/>
      <c r="GH240" s="13"/>
      <c r="GI240" s="14"/>
      <c r="GK240" s="65"/>
      <c r="GL240" s="13"/>
      <c r="GM240" s="14"/>
      <c r="GO240" s="65"/>
      <c r="GP240" s="13"/>
      <c r="GQ240" s="14"/>
      <c r="GS240" s="65"/>
      <c r="GT240" s="13"/>
      <c r="GU240" s="14"/>
      <c r="GW240" s="65"/>
      <c r="GX240" s="13"/>
      <c r="GY240" s="14"/>
      <c r="HA240" s="65"/>
      <c r="HB240" s="13"/>
      <c r="HC240" s="14"/>
      <c r="HE240" s="65"/>
      <c r="HF240" s="13"/>
      <c r="HG240" s="14"/>
      <c r="HI240" s="65"/>
      <c r="HJ240" s="13"/>
      <c r="HK240" s="14"/>
      <c r="HM240" s="65"/>
      <c r="HN240" s="13"/>
      <c r="HO240" s="14"/>
      <c r="HQ240" s="65"/>
      <c r="HR240" s="13"/>
      <c r="HS240" s="14"/>
      <c r="HU240" s="65"/>
      <c r="HV240" s="13"/>
      <c r="HW240" s="14"/>
      <c r="HY240" s="65"/>
      <c r="HZ240" s="13"/>
      <c r="IA240" s="14"/>
      <c r="IC240" s="65"/>
      <c r="ID240" s="13"/>
      <c r="IE240" s="14"/>
      <c r="IG240" s="65"/>
      <c r="IH240" s="13"/>
      <c r="II240" s="14"/>
      <c r="IK240" s="65"/>
      <c r="IL240" s="13"/>
      <c r="IM240" s="14"/>
      <c r="IO240" s="65"/>
      <c r="IP240" s="13"/>
      <c r="IQ240" s="14"/>
      <c r="IS240" s="65"/>
      <c r="IT240" s="13"/>
      <c r="IU240" s="14"/>
      <c r="IW240" s="65"/>
      <c r="IX240" s="13"/>
      <c r="IY240" s="14"/>
      <c r="JA240" s="65"/>
      <c r="JB240" s="13"/>
      <c r="JC240" s="14"/>
      <c r="JE240" s="65"/>
      <c r="JF240" s="13"/>
      <c r="JG240" s="14"/>
      <c r="JI240" s="65"/>
      <c r="JJ240" s="13"/>
      <c r="JK240" s="14"/>
      <c r="JM240" s="65"/>
      <c r="JN240" s="13"/>
      <c r="JO240" s="14"/>
      <c r="JQ240" s="65"/>
      <c r="JR240" s="13"/>
      <c r="JS240" s="14"/>
      <c r="JU240" s="65"/>
      <c r="JV240" s="13"/>
      <c r="JW240" s="14"/>
      <c r="JY240" s="65"/>
      <c r="JZ240" s="13"/>
      <c r="KA240" s="14"/>
      <c r="KC240" s="65"/>
      <c r="KD240" s="13"/>
      <c r="KE240" s="14"/>
      <c r="KG240" s="65"/>
      <c r="KH240" s="13"/>
      <c r="KI240" s="14"/>
      <c r="KK240" s="65"/>
      <c r="KL240" s="13"/>
      <c r="KM240" s="14"/>
      <c r="KO240" s="65"/>
      <c r="KP240" s="13"/>
      <c r="KQ240" s="14"/>
      <c r="KS240" s="65"/>
      <c r="KT240" s="13"/>
      <c r="KU240" s="14"/>
      <c r="KW240" s="65"/>
      <c r="KX240" s="13"/>
      <c r="KY240" s="14"/>
      <c r="LA240" s="65"/>
      <c r="LB240" s="13"/>
      <c r="LC240" s="14"/>
      <c r="LE240" s="65"/>
      <c r="LF240" s="13"/>
      <c r="LG240" s="14"/>
      <c r="LI240" s="65"/>
      <c r="LJ240" s="13"/>
      <c r="LK240" s="14"/>
      <c r="LM240" s="65"/>
      <c r="LN240" s="13"/>
      <c r="LO240" s="14"/>
      <c r="LQ240" s="65"/>
      <c r="LR240" s="13"/>
      <c r="LS240" s="14"/>
      <c r="LU240" s="65"/>
      <c r="LV240" s="13"/>
      <c r="LW240" s="14"/>
      <c r="LY240" s="65"/>
      <c r="LZ240" s="13"/>
      <c r="MA240" s="14"/>
      <c r="MC240" s="65"/>
      <c r="MD240" s="13"/>
      <c r="ME240" s="14"/>
      <c r="MG240" s="65"/>
      <c r="MH240" s="13"/>
      <c r="MI240" s="14"/>
      <c r="MK240" s="65"/>
      <c r="ML240" s="13"/>
      <c r="MM240" s="14"/>
      <c r="MO240" s="65"/>
      <c r="MP240" s="13"/>
      <c r="MQ240" s="14"/>
      <c r="MS240" s="65"/>
      <c r="MT240" s="13"/>
      <c r="MU240" s="14"/>
    </row>
    <row r="241" spans="1:359" hidden="1" x14ac:dyDescent="0.25">
      <c r="A241" s="15">
        <f t="shared" si="193"/>
        <v>0</v>
      </c>
      <c r="B241" s="20">
        <v>42935</v>
      </c>
      <c r="C241"/>
      <c r="D241" s="12"/>
      <c r="E241" s="12"/>
      <c r="I241" s="12"/>
      <c r="J241" s="12"/>
      <c r="N241" s="12"/>
      <c r="O241" s="12"/>
      <c r="T241" s="15"/>
      <c r="U241" s="20"/>
      <c r="V241" s="36"/>
      <c r="W241" s="12"/>
      <c r="X241" s="12"/>
      <c r="AB241" s="12"/>
      <c r="AC241" s="12"/>
      <c r="AG241" s="12"/>
      <c r="AH241" s="12"/>
      <c r="AK241" s="12"/>
      <c r="AL241" s="13"/>
      <c r="AM241" s="14"/>
      <c r="CK241" s="65"/>
      <c r="CL241" s="13"/>
      <c r="CO241" s="65"/>
      <c r="CP241" s="13"/>
      <c r="CS241" s="65"/>
      <c r="CT241" s="13"/>
      <c r="CW241" s="65"/>
      <c r="CX241" s="13"/>
      <c r="DA241" s="65"/>
      <c r="DB241" s="13"/>
      <c r="DE241" s="65"/>
      <c r="DF241" s="13"/>
      <c r="DI241" s="65"/>
      <c r="DJ241" s="13"/>
      <c r="DM241" s="65"/>
      <c r="DN241" s="13"/>
      <c r="DQ241" s="65"/>
      <c r="DR241" s="13"/>
      <c r="DU241" s="65"/>
      <c r="DV241" s="13"/>
      <c r="DY241" s="65"/>
      <c r="DZ241" s="13"/>
      <c r="EA241" s="14"/>
      <c r="EC241" s="65"/>
      <c r="ED241" s="13"/>
      <c r="EE241" s="14"/>
      <c r="EG241" s="65"/>
      <c r="EH241" s="13"/>
      <c r="EI241" s="14"/>
      <c r="EK241" s="65"/>
      <c r="EL241" s="13"/>
      <c r="EM241" s="14"/>
      <c r="EO241" s="65"/>
      <c r="EP241" s="13"/>
      <c r="EQ241" s="14"/>
      <c r="ES241" s="65"/>
      <c r="ET241" s="13"/>
      <c r="EU241" s="14"/>
      <c r="EW241" s="65"/>
      <c r="EX241" s="13"/>
      <c r="EY241" s="14"/>
      <c r="FA241" s="65"/>
      <c r="FB241" s="13"/>
      <c r="FC241" s="14"/>
      <c r="FE241" s="65"/>
      <c r="FF241" s="13"/>
      <c r="FG241" s="14"/>
      <c r="FI241" s="65"/>
      <c r="FJ241" s="13"/>
      <c r="FK241" s="14"/>
      <c r="FM241" s="65"/>
      <c r="FN241" s="13"/>
      <c r="FO241" s="14"/>
      <c r="FQ241" s="65"/>
      <c r="FR241" s="13"/>
      <c r="FS241" s="14"/>
      <c r="FU241" s="65"/>
      <c r="FV241" s="13"/>
      <c r="FW241" s="14"/>
      <c r="FY241" s="65"/>
      <c r="FZ241" s="13"/>
      <c r="GA241" s="14"/>
      <c r="GC241" s="65"/>
      <c r="GD241" s="13"/>
      <c r="GE241" s="14"/>
      <c r="GG241" s="65"/>
      <c r="GH241" s="13"/>
      <c r="GI241" s="14"/>
      <c r="GK241" s="65"/>
      <c r="GL241" s="13"/>
      <c r="GM241" s="14"/>
      <c r="GO241" s="65"/>
      <c r="GP241" s="13"/>
      <c r="GQ241" s="14"/>
      <c r="GS241" s="65"/>
      <c r="GT241" s="13"/>
      <c r="GU241" s="14"/>
      <c r="GW241" s="65"/>
      <c r="GX241" s="13"/>
      <c r="GY241" s="14"/>
      <c r="HA241" s="65"/>
      <c r="HB241" s="13"/>
      <c r="HC241" s="14"/>
      <c r="HE241" s="65"/>
      <c r="HF241" s="13"/>
      <c r="HG241" s="14"/>
      <c r="HI241" s="65"/>
      <c r="HJ241" s="13"/>
      <c r="HK241" s="14"/>
      <c r="HM241" s="65"/>
      <c r="HN241" s="13"/>
      <c r="HO241" s="14"/>
      <c r="HQ241" s="65"/>
      <c r="HR241" s="13"/>
      <c r="HS241" s="14"/>
      <c r="HU241" s="65"/>
      <c r="HV241" s="13"/>
      <c r="HW241" s="14"/>
      <c r="HY241" s="65"/>
      <c r="HZ241" s="13"/>
      <c r="IA241" s="14"/>
      <c r="IC241" s="65"/>
      <c r="ID241" s="13"/>
      <c r="IE241" s="14"/>
      <c r="IG241" s="65"/>
      <c r="IH241" s="13"/>
      <c r="II241" s="14"/>
      <c r="IK241" s="65"/>
      <c r="IL241" s="13"/>
      <c r="IM241" s="14"/>
      <c r="IO241" s="65"/>
      <c r="IP241" s="13"/>
      <c r="IQ241" s="14"/>
      <c r="IS241" s="65"/>
      <c r="IT241" s="13"/>
      <c r="IU241" s="14"/>
      <c r="IW241" s="65"/>
      <c r="IX241" s="13"/>
      <c r="IY241" s="14"/>
      <c r="JA241" s="65"/>
      <c r="JB241" s="13"/>
      <c r="JC241" s="14"/>
      <c r="JE241" s="65"/>
      <c r="JF241" s="13"/>
      <c r="JG241" s="14"/>
      <c r="JI241" s="65"/>
      <c r="JJ241" s="13"/>
      <c r="JK241" s="14"/>
      <c r="JM241" s="65"/>
      <c r="JN241" s="13"/>
      <c r="JO241" s="14"/>
      <c r="JQ241" s="65"/>
      <c r="JR241" s="13"/>
      <c r="JS241" s="14"/>
      <c r="JU241" s="65"/>
      <c r="JV241" s="13"/>
      <c r="JW241" s="14"/>
      <c r="JY241" s="65"/>
      <c r="JZ241" s="13"/>
      <c r="KA241" s="14"/>
      <c r="KC241" s="65"/>
      <c r="KD241" s="13"/>
      <c r="KE241" s="14"/>
      <c r="KG241" s="65"/>
      <c r="KH241" s="13"/>
      <c r="KI241" s="14"/>
      <c r="KK241" s="65"/>
      <c r="KL241" s="13"/>
      <c r="KM241" s="14"/>
      <c r="KO241" s="65"/>
      <c r="KP241" s="13"/>
      <c r="KQ241" s="14"/>
      <c r="KS241" s="65"/>
      <c r="KT241" s="13"/>
      <c r="KU241" s="14"/>
      <c r="KW241" s="65"/>
      <c r="KX241" s="13"/>
      <c r="KY241" s="14"/>
      <c r="LA241" s="65"/>
      <c r="LB241" s="13"/>
      <c r="LC241" s="14"/>
      <c r="LE241" s="65"/>
      <c r="LF241" s="13"/>
      <c r="LG241" s="14"/>
      <c r="LI241" s="65"/>
      <c r="LJ241" s="13"/>
      <c r="LK241" s="14"/>
      <c r="LM241" s="65"/>
      <c r="LN241" s="13"/>
      <c r="LO241" s="14"/>
      <c r="LQ241" s="65"/>
      <c r="LR241" s="13"/>
      <c r="LS241" s="14"/>
      <c r="LU241" s="65"/>
      <c r="LV241" s="13"/>
      <c r="LW241" s="14"/>
      <c r="LY241" s="65"/>
      <c r="LZ241" s="13"/>
      <c r="MA241" s="14"/>
      <c r="MC241" s="65"/>
      <c r="MD241" s="13"/>
      <c r="ME241" s="14"/>
      <c r="MG241" s="65"/>
      <c r="MH241" s="13"/>
      <c r="MI241" s="14"/>
      <c r="MK241" s="65"/>
      <c r="ML241" s="13"/>
      <c r="MM241" s="14"/>
      <c r="MO241" s="65"/>
      <c r="MP241" s="13"/>
      <c r="MQ241" s="14"/>
      <c r="MS241" s="65"/>
      <c r="MT241" s="13"/>
      <c r="MU241" s="14"/>
    </row>
    <row r="242" spans="1:359" hidden="1" x14ac:dyDescent="0.25">
      <c r="A242" s="15">
        <f t="shared" si="193"/>
        <v>0</v>
      </c>
      <c r="B242" s="20">
        <v>42936</v>
      </c>
      <c r="C242"/>
      <c r="D242" s="12"/>
      <c r="E242" s="12"/>
      <c r="I242" s="12"/>
      <c r="J242" s="12"/>
      <c r="N242" s="12"/>
      <c r="O242" s="12"/>
      <c r="T242" s="15"/>
      <c r="U242" s="20"/>
      <c r="V242" s="36"/>
      <c r="W242" s="12"/>
      <c r="X242" s="12"/>
      <c r="AB242" s="12"/>
      <c r="AC242" s="12"/>
      <c r="AG242" s="12"/>
      <c r="AH242" s="12"/>
      <c r="AK242" s="12"/>
      <c r="AL242" s="13"/>
      <c r="AM242" s="14"/>
      <c r="CK242" s="65"/>
      <c r="CL242" s="13"/>
      <c r="CO242" s="65"/>
      <c r="CP242" s="13"/>
      <c r="CS242" s="65"/>
      <c r="CT242" s="13"/>
      <c r="CW242" s="65"/>
      <c r="CX242" s="13"/>
      <c r="DA242" s="65"/>
      <c r="DB242" s="13"/>
      <c r="DE242" s="65"/>
      <c r="DF242" s="13"/>
      <c r="DI242" s="65"/>
      <c r="DJ242" s="13"/>
      <c r="DM242" s="65"/>
      <c r="DN242" s="13"/>
      <c r="DQ242" s="65"/>
      <c r="DR242" s="13"/>
      <c r="DU242" s="65"/>
      <c r="DV242" s="13"/>
      <c r="DY242" s="65"/>
      <c r="DZ242" s="13"/>
      <c r="EA242" s="14"/>
      <c r="EC242" s="65"/>
      <c r="ED242" s="13"/>
      <c r="EE242" s="14"/>
      <c r="EG242" s="65"/>
      <c r="EH242" s="13"/>
      <c r="EI242" s="14"/>
      <c r="EK242" s="65"/>
      <c r="EL242" s="13"/>
      <c r="EM242" s="14"/>
      <c r="EO242" s="65"/>
      <c r="EP242" s="13"/>
      <c r="EQ242" s="14"/>
      <c r="ES242" s="65"/>
      <c r="ET242" s="13"/>
      <c r="EU242" s="14"/>
      <c r="EW242" s="65"/>
      <c r="EX242" s="13"/>
      <c r="EY242" s="14"/>
      <c r="FA242" s="65"/>
      <c r="FB242" s="13"/>
      <c r="FC242" s="14"/>
      <c r="FE242" s="65"/>
      <c r="FF242" s="13"/>
      <c r="FG242" s="14"/>
      <c r="FI242" s="65"/>
      <c r="FJ242" s="13"/>
      <c r="FK242" s="14"/>
      <c r="FM242" s="65"/>
      <c r="FN242" s="13"/>
      <c r="FO242" s="14"/>
      <c r="FQ242" s="65"/>
      <c r="FR242" s="13"/>
      <c r="FS242" s="14"/>
      <c r="FU242" s="65"/>
      <c r="FV242" s="13"/>
      <c r="FW242" s="14"/>
      <c r="FY242" s="65"/>
      <c r="FZ242" s="13"/>
      <c r="GA242" s="14"/>
      <c r="GC242" s="65"/>
      <c r="GD242" s="13"/>
      <c r="GE242" s="14"/>
      <c r="GG242" s="65"/>
      <c r="GH242" s="13"/>
      <c r="GI242" s="14"/>
      <c r="GK242" s="65"/>
      <c r="GL242" s="13"/>
      <c r="GM242" s="14"/>
      <c r="GO242" s="65"/>
      <c r="GP242" s="13"/>
      <c r="GQ242" s="14"/>
      <c r="GS242" s="65"/>
      <c r="GT242" s="13"/>
      <c r="GU242" s="14"/>
      <c r="GW242" s="65"/>
      <c r="GX242" s="13"/>
      <c r="GY242" s="14"/>
      <c r="HA242" s="65"/>
      <c r="HB242" s="13"/>
      <c r="HC242" s="14"/>
      <c r="HE242" s="65"/>
      <c r="HF242" s="13"/>
      <c r="HG242" s="14"/>
      <c r="HI242" s="65"/>
      <c r="HJ242" s="13"/>
      <c r="HK242" s="14"/>
      <c r="HM242" s="65"/>
      <c r="HN242" s="13"/>
      <c r="HO242" s="14"/>
      <c r="HQ242" s="65"/>
      <c r="HR242" s="13"/>
      <c r="HS242" s="14"/>
      <c r="HU242" s="65"/>
      <c r="HV242" s="13"/>
      <c r="HW242" s="14"/>
      <c r="HY242" s="65"/>
      <c r="HZ242" s="13"/>
      <c r="IA242" s="14"/>
      <c r="IC242" s="65"/>
      <c r="ID242" s="13"/>
      <c r="IE242" s="14"/>
      <c r="IG242" s="65"/>
      <c r="IH242" s="13"/>
      <c r="II242" s="14"/>
      <c r="IK242" s="65"/>
      <c r="IL242" s="13"/>
      <c r="IM242" s="14"/>
      <c r="IO242" s="65"/>
      <c r="IP242" s="13"/>
      <c r="IQ242" s="14"/>
      <c r="IS242" s="65"/>
      <c r="IT242" s="13"/>
      <c r="IU242" s="14"/>
      <c r="IW242" s="65"/>
      <c r="IX242" s="13"/>
      <c r="IY242" s="14"/>
      <c r="JA242" s="65"/>
      <c r="JB242" s="13"/>
      <c r="JC242" s="14"/>
      <c r="JE242" s="65"/>
      <c r="JF242" s="13"/>
      <c r="JG242" s="14"/>
      <c r="JI242" s="65"/>
      <c r="JJ242" s="13"/>
      <c r="JK242" s="14"/>
      <c r="JM242" s="65"/>
      <c r="JN242" s="13"/>
      <c r="JO242" s="14"/>
      <c r="JQ242" s="65"/>
      <c r="JR242" s="13"/>
      <c r="JS242" s="14"/>
      <c r="JU242" s="65"/>
      <c r="JV242" s="13"/>
      <c r="JW242" s="14"/>
      <c r="JY242" s="65"/>
      <c r="JZ242" s="13"/>
      <c r="KA242" s="14"/>
      <c r="KC242" s="65"/>
      <c r="KD242" s="13"/>
      <c r="KE242" s="14"/>
      <c r="KG242" s="65"/>
      <c r="KH242" s="13"/>
      <c r="KI242" s="14"/>
      <c r="KK242" s="65"/>
      <c r="KL242" s="13"/>
      <c r="KM242" s="14"/>
      <c r="KO242" s="65"/>
      <c r="KP242" s="13"/>
      <c r="KQ242" s="14"/>
      <c r="KS242" s="65"/>
      <c r="KT242" s="13"/>
      <c r="KU242" s="14"/>
      <c r="KW242" s="65"/>
      <c r="KX242" s="13"/>
      <c r="KY242" s="14"/>
      <c r="LA242" s="65"/>
      <c r="LB242" s="13"/>
      <c r="LC242" s="14"/>
      <c r="LE242" s="65"/>
      <c r="LF242" s="13"/>
      <c r="LG242" s="14"/>
      <c r="LI242" s="65"/>
      <c r="LJ242" s="13"/>
      <c r="LK242" s="14"/>
      <c r="LM242" s="65"/>
      <c r="LN242" s="13"/>
      <c r="LO242" s="14"/>
      <c r="LQ242" s="65"/>
      <c r="LR242" s="13"/>
      <c r="LS242" s="14"/>
      <c r="LU242" s="65"/>
      <c r="LV242" s="13"/>
      <c r="LW242" s="14"/>
      <c r="LY242" s="65"/>
      <c r="LZ242" s="13"/>
      <c r="MA242" s="14"/>
      <c r="MC242" s="65"/>
      <c r="MD242" s="13"/>
      <c r="ME242" s="14"/>
      <c r="MG242" s="65"/>
      <c r="MH242" s="13"/>
      <c r="MI242" s="14"/>
      <c r="MK242" s="65"/>
      <c r="ML242" s="13"/>
      <c r="MM242" s="14"/>
      <c r="MO242" s="65"/>
      <c r="MP242" s="13"/>
      <c r="MQ242" s="14"/>
      <c r="MS242" s="65"/>
      <c r="MT242" s="13"/>
      <c r="MU242" s="14"/>
    </row>
    <row r="243" spans="1:359" hidden="1" x14ac:dyDescent="0.25">
      <c r="A243" s="15">
        <f t="shared" si="193"/>
        <v>0</v>
      </c>
      <c r="B243" s="20">
        <v>42937</v>
      </c>
      <c r="C243"/>
      <c r="D243" s="12"/>
      <c r="E243" s="12"/>
      <c r="I243" s="12"/>
      <c r="J243" s="12"/>
      <c r="N243" s="12"/>
      <c r="O243" s="12"/>
      <c r="T243" s="15"/>
      <c r="U243" s="20"/>
      <c r="V243" s="36"/>
      <c r="W243" s="12"/>
      <c r="X243" s="12"/>
      <c r="AB243" s="12"/>
      <c r="AC243" s="12"/>
      <c r="AG243" s="12"/>
      <c r="AH243" s="12"/>
      <c r="AK243" s="12"/>
      <c r="AL243" s="13"/>
      <c r="AM243" s="14"/>
      <c r="CK243" s="65"/>
      <c r="CL243" s="13"/>
      <c r="CO243" s="65"/>
      <c r="CP243" s="13"/>
      <c r="CS243" s="65"/>
      <c r="CT243" s="13"/>
      <c r="CW243" s="65"/>
      <c r="CX243" s="13"/>
      <c r="DA243" s="65"/>
      <c r="DB243" s="13"/>
      <c r="DE243" s="65"/>
      <c r="DF243" s="13"/>
      <c r="DI243" s="65"/>
      <c r="DJ243" s="13"/>
      <c r="DM243" s="65"/>
      <c r="DN243" s="13"/>
      <c r="DQ243" s="65"/>
      <c r="DR243" s="13"/>
      <c r="DU243" s="65"/>
      <c r="DV243" s="13"/>
      <c r="DY243" s="65"/>
      <c r="DZ243" s="13"/>
      <c r="EA243" s="14"/>
      <c r="EC243" s="65"/>
      <c r="ED243" s="13"/>
      <c r="EE243" s="14"/>
      <c r="EG243" s="65"/>
      <c r="EH243" s="13"/>
      <c r="EI243" s="14"/>
      <c r="EK243" s="65"/>
      <c r="EL243" s="13"/>
      <c r="EM243" s="14"/>
      <c r="EO243" s="65"/>
      <c r="EP243" s="13"/>
      <c r="EQ243" s="14"/>
      <c r="ES243" s="65"/>
      <c r="ET243" s="13"/>
      <c r="EU243" s="14"/>
      <c r="EW243" s="65"/>
      <c r="EX243" s="13"/>
      <c r="EY243" s="14"/>
      <c r="FA243" s="65"/>
      <c r="FB243" s="13"/>
      <c r="FC243" s="14"/>
      <c r="FE243" s="65"/>
      <c r="FF243" s="13"/>
      <c r="FG243" s="14"/>
      <c r="FI243" s="65"/>
      <c r="FJ243" s="13"/>
      <c r="FK243" s="14"/>
      <c r="FM243" s="65"/>
      <c r="FN243" s="13"/>
      <c r="FO243" s="14"/>
      <c r="FQ243" s="65"/>
      <c r="FR243" s="13"/>
      <c r="FS243" s="14"/>
      <c r="FU243" s="65"/>
      <c r="FV243" s="13"/>
      <c r="FW243" s="14"/>
      <c r="FY243" s="65"/>
      <c r="FZ243" s="13"/>
      <c r="GA243" s="14"/>
      <c r="GC243" s="65"/>
      <c r="GD243" s="13"/>
      <c r="GE243" s="14"/>
      <c r="GG243" s="65"/>
      <c r="GH243" s="13"/>
      <c r="GI243" s="14"/>
      <c r="GK243" s="65"/>
      <c r="GL243" s="13"/>
      <c r="GM243" s="14"/>
      <c r="GO243" s="65"/>
      <c r="GP243" s="13"/>
      <c r="GQ243" s="14"/>
      <c r="GS243" s="65"/>
      <c r="GT243" s="13"/>
      <c r="GU243" s="14"/>
      <c r="GW243" s="65"/>
      <c r="GX243" s="13"/>
      <c r="GY243" s="14"/>
      <c r="HA243" s="65"/>
      <c r="HB243" s="13"/>
      <c r="HC243" s="14"/>
      <c r="HE243" s="65"/>
      <c r="HF243" s="13"/>
      <c r="HG243" s="14"/>
      <c r="HI243" s="65"/>
      <c r="HJ243" s="13"/>
      <c r="HK243" s="14"/>
      <c r="HM243" s="65"/>
      <c r="HN243" s="13"/>
      <c r="HO243" s="14"/>
      <c r="HQ243" s="65"/>
      <c r="HR243" s="13"/>
      <c r="HS243" s="14"/>
      <c r="HU243" s="65"/>
      <c r="HV243" s="13"/>
      <c r="HW243" s="14"/>
      <c r="HY243" s="65"/>
      <c r="HZ243" s="13"/>
      <c r="IA243" s="14"/>
      <c r="IC243" s="65"/>
      <c r="ID243" s="13"/>
      <c r="IE243" s="14"/>
      <c r="IG243" s="65"/>
      <c r="IH243" s="13"/>
      <c r="II243" s="14"/>
      <c r="IK243" s="65"/>
      <c r="IL243" s="13"/>
      <c r="IM243" s="14"/>
      <c r="IO243" s="65"/>
      <c r="IP243" s="13"/>
      <c r="IQ243" s="14"/>
      <c r="IS243" s="65"/>
      <c r="IT243" s="13"/>
      <c r="IU243" s="14"/>
      <c r="IW243" s="65"/>
      <c r="IX243" s="13"/>
      <c r="IY243" s="14"/>
      <c r="JA243" s="65"/>
      <c r="JB243" s="13"/>
      <c r="JC243" s="14"/>
      <c r="JE243" s="65"/>
      <c r="JF243" s="13"/>
      <c r="JG243" s="14"/>
      <c r="JI243" s="65"/>
      <c r="JJ243" s="13"/>
      <c r="JK243" s="14"/>
      <c r="JM243" s="65"/>
      <c r="JN243" s="13"/>
      <c r="JO243" s="14"/>
      <c r="JQ243" s="65"/>
      <c r="JR243" s="13"/>
      <c r="JS243" s="14"/>
      <c r="JU243" s="65"/>
      <c r="JV243" s="13"/>
      <c r="JW243" s="14"/>
      <c r="JY243" s="65"/>
      <c r="JZ243" s="13"/>
      <c r="KA243" s="14"/>
      <c r="KC243" s="65"/>
      <c r="KD243" s="13"/>
      <c r="KE243" s="14"/>
      <c r="KG243" s="65"/>
      <c r="KH243" s="13"/>
      <c r="KI243" s="14"/>
      <c r="KK243" s="65"/>
      <c r="KL243" s="13"/>
      <c r="KM243" s="14"/>
      <c r="KO243" s="65"/>
      <c r="KP243" s="13"/>
      <c r="KQ243" s="14"/>
      <c r="KS243" s="65"/>
      <c r="KT243" s="13"/>
      <c r="KU243" s="14"/>
      <c r="KW243" s="65"/>
      <c r="KX243" s="13"/>
      <c r="KY243" s="14"/>
      <c r="LA243" s="65"/>
      <c r="LB243" s="13"/>
      <c r="LC243" s="14"/>
      <c r="LE243" s="65"/>
      <c r="LF243" s="13"/>
      <c r="LG243" s="14"/>
      <c r="LI243" s="65"/>
      <c r="LJ243" s="13"/>
      <c r="LK243" s="14"/>
      <c r="LM243" s="65"/>
      <c r="LN243" s="13"/>
      <c r="LO243" s="14"/>
      <c r="LQ243" s="65"/>
      <c r="LR243" s="13"/>
      <c r="LS243" s="14"/>
      <c r="LU243" s="65"/>
      <c r="LV243" s="13"/>
      <c r="LW243" s="14"/>
      <c r="LY243" s="65"/>
      <c r="LZ243" s="13"/>
      <c r="MA243" s="14"/>
      <c r="MC243" s="65"/>
      <c r="MD243" s="13"/>
      <c r="ME243" s="14"/>
      <c r="MG243" s="65"/>
      <c r="MH243" s="13"/>
      <c r="MI243" s="14"/>
      <c r="MK243" s="65"/>
      <c r="ML243" s="13"/>
      <c r="MM243" s="14"/>
      <c r="MO243" s="65"/>
      <c r="MP243" s="13"/>
      <c r="MQ243" s="14"/>
      <c r="MS243" s="65"/>
      <c r="MT243" s="13"/>
      <c r="MU243" s="14"/>
    </row>
    <row r="244" spans="1:359" hidden="1" x14ac:dyDescent="0.25">
      <c r="A244" s="15">
        <f t="shared" si="193"/>
        <v>0</v>
      </c>
      <c r="B244" s="20">
        <v>42938</v>
      </c>
      <c r="C244"/>
      <c r="D244" s="12"/>
      <c r="E244" s="12"/>
      <c r="I244" s="12"/>
      <c r="J244" s="12"/>
      <c r="N244" s="12"/>
      <c r="O244" s="12"/>
      <c r="T244" s="15"/>
      <c r="U244" s="20"/>
      <c r="V244" s="36"/>
      <c r="W244" s="12"/>
      <c r="X244" s="12"/>
      <c r="AB244" s="12"/>
      <c r="AC244" s="12"/>
      <c r="AG244" s="12"/>
      <c r="AH244" s="12"/>
      <c r="AK244" s="12"/>
      <c r="AL244" s="13"/>
      <c r="AM244" s="14"/>
      <c r="CK244" s="65"/>
      <c r="CL244" s="13"/>
      <c r="CO244" s="65"/>
      <c r="CP244" s="13"/>
      <c r="CS244" s="65"/>
      <c r="CT244" s="13"/>
      <c r="CW244" s="65"/>
      <c r="CX244" s="13"/>
      <c r="DA244" s="65"/>
      <c r="DB244" s="13"/>
      <c r="DE244" s="65"/>
      <c r="DF244" s="13"/>
      <c r="DI244" s="65"/>
      <c r="DJ244" s="13"/>
      <c r="DM244" s="65"/>
      <c r="DN244" s="13"/>
      <c r="DQ244" s="65"/>
      <c r="DR244" s="13"/>
      <c r="DU244" s="65"/>
      <c r="DV244" s="13"/>
      <c r="DY244" s="65"/>
      <c r="DZ244" s="13"/>
      <c r="EA244" s="14"/>
      <c r="EC244" s="65"/>
      <c r="ED244" s="13"/>
      <c r="EE244" s="14"/>
      <c r="EG244" s="65"/>
      <c r="EH244" s="13"/>
      <c r="EI244" s="14"/>
      <c r="EK244" s="65"/>
      <c r="EL244" s="13"/>
      <c r="EM244" s="14"/>
      <c r="EO244" s="65"/>
      <c r="EP244" s="13"/>
      <c r="EQ244" s="14"/>
      <c r="ES244" s="65"/>
      <c r="ET244" s="13"/>
      <c r="EU244" s="14"/>
      <c r="EW244" s="65"/>
      <c r="EX244" s="13"/>
      <c r="EY244" s="14"/>
      <c r="FA244" s="65"/>
      <c r="FB244" s="13"/>
      <c r="FC244" s="14"/>
      <c r="FE244" s="65"/>
      <c r="FF244" s="13"/>
      <c r="FG244" s="14"/>
      <c r="FI244" s="65"/>
      <c r="FJ244" s="13"/>
      <c r="FK244" s="14"/>
      <c r="FM244" s="65"/>
      <c r="FN244" s="13"/>
      <c r="FO244" s="14"/>
      <c r="FQ244" s="65"/>
      <c r="FR244" s="13"/>
      <c r="FS244" s="14"/>
      <c r="FU244" s="65"/>
      <c r="FV244" s="13"/>
      <c r="FW244" s="14"/>
      <c r="FY244" s="65"/>
      <c r="FZ244" s="13"/>
      <c r="GA244" s="14"/>
      <c r="GC244" s="65"/>
      <c r="GD244" s="13"/>
      <c r="GE244" s="14"/>
      <c r="GG244" s="65"/>
      <c r="GH244" s="13"/>
      <c r="GI244" s="14"/>
      <c r="GK244" s="65"/>
      <c r="GL244" s="13"/>
      <c r="GM244" s="14"/>
      <c r="GO244" s="65"/>
      <c r="GP244" s="13"/>
      <c r="GQ244" s="14"/>
      <c r="GS244" s="65"/>
      <c r="GT244" s="13"/>
      <c r="GU244" s="14"/>
      <c r="GW244" s="65"/>
      <c r="GX244" s="13"/>
      <c r="GY244" s="14"/>
      <c r="HA244" s="65"/>
      <c r="HB244" s="13"/>
      <c r="HC244" s="14"/>
      <c r="HE244" s="65"/>
      <c r="HF244" s="13"/>
      <c r="HG244" s="14"/>
      <c r="HI244" s="65"/>
      <c r="HJ244" s="13"/>
      <c r="HK244" s="14"/>
      <c r="HM244" s="65"/>
      <c r="HN244" s="13"/>
      <c r="HO244" s="14"/>
      <c r="HQ244" s="65"/>
      <c r="HR244" s="13"/>
      <c r="HS244" s="14"/>
      <c r="HU244" s="65"/>
      <c r="HV244" s="13"/>
      <c r="HW244" s="14"/>
      <c r="HY244" s="65"/>
      <c r="HZ244" s="13"/>
      <c r="IA244" s="14"/>
      <c r="IC244" s="65"/>
      <c r="ID244" s="13"/>
      <c r="IE244" s="14"/>
      <c r="IG244" s="65"/>
      <c r="IH244" s="13"/>
      <c r="II244" s="14"/>
      <c r="IK244" s="65"/>
      <c r="IL244" s="13"/>
      <c r="IM244" s="14"/>
      <c r="IO244" s="65"/>
      <c r="IP244" s="13"/>
      <c r="IQ244" s="14"/>
      <c r="IS244" s="65"/>
      <c r="IT244" s="13"/>
      <c r="IU244" s="14"/>
      <c r="IW244" s="65"/>
      <c r="IX244" s="13"/>
      <c r="IY244" s="14"/>
      <c r="JA244" s="65"/>
      <c r="JB244" s="13"/>
      <c r="JC244" s="14"/>
      <c r="JE244" s="65"/>
      <c r="JF244" s="13"/>
      <c r="JG244" s="14"/>
      <c r="JI244" s="65"/>
      <c r="JJ244" s="13"/>
      <c r="JK244" s="14"/>
      <c r="JM244" s="65"/>
      <c r="JN244" s="13"/>
      <c r="JO244" s="14"/>
      <c r="JQ244" s="65"/>
      <c r="JR244" s="13"/>
      <c r="JS244" s="14"/>
      <c r="JU244" s="65"/>
      <c r="JV244" s="13"/>
      <c r="JW244" s="14"/>
      <c r="JY244" s="65"/>
      <c r="JZ244" s="13"/>
      <c r="KA244" s="14"/>
      <c r="KC244" s="65"/>
      <c r="KD244" s="13"/>
      <c r="KE244" s="14"/>
      <c r="KG244" s="65"/>
      <c r="KH244" s="13"/>
      <c r="KI244" s="14"/>
      <c r="KK244" s="65"/>
      <c r="KL244" s="13"/>
      <c r="KM244" s="14"/>
      <c r="KO244" s="65"/>
      <c r="KP244" s="13"/>
      <c r="KQ244" s="14"/>
      <c r="KS244" s="65"/>
      <c r="KT244" s="13"/>
      <c r="KU244" s="14"/>
      <c r="KW244" s="65"/>
      <c r="KX244" s="13"/>
      <c r="KY244" s="14"/>
      <c r="LA244" s="65"/>
      <c r="LB244" s="13"/>
      <c r="LC244" s="14"/>
      <c r="LE244" s="65"/>
      <c r="LF244" s="13"/>
      <c r="LG244" s="14"/>
      <c r="LI244" s="65"/>
      <c r="LJ244" s="13"/>
      <c r="LK244" s="14"/>
      <c r="LM244" s="65"/>
      <c r="LN244" s="13"/>
      <c r="LO244" s="14"/>
      <c r="LQ244" s="65"/>
      <c r="LR244" s="13"/>
      <c r="LS244" s="14"/>
      <c r="LU244" s="65"/>
      <c r="LV244" s="13"/>
      <c r="LW244" s="14"/>
      <c r="LY244" s="65"/>
      <c r="LZ244" s="13"/>
      <c r="MA244" s="14"/>
      <c r="MC244" s="65"/>
      <c r="MD244" s="13"/>
      <c r="ME244" s="14"/>
      <c r="MG244" s="65"/>
      <c r="MH244" s="13"/>
      <c r="MI244" s="14"/>
      <c r="MK244" s="65"/>
      <c r="ML244" s="13"/>
      <c r="MM244" s="14"/>
      <c r="MO244" s="65"/>
      <c r="MP244" s="13"/>
      <c r="MQ244" s="14"/>
      <c r="MS244" s="65"/>
      <c r="MT244" s="13"/>
      <c r="MU244" s="14"/>
    </row>
    <row r="245" spans="1:359" hidden="1" x14ac:dyDescent="0.25">
      <c r="A245" s="15">
        <f t="shared" si="193"/>
        <v>0</v>
      </c>
      <c r="B245" s="20">
        <v>42939</v>
      </c>
      <c r="C245"/>
      <c r="D245" s="12"/>
      <c r="E245" s="12"/>
      <c r="I245" s="12"/>
      <c r="J245" s="12"/>
      <c r="N245" s="12"/>
      <c r="O245" s="12"/>
      <c r="T245" s="15"/>
      <c r="U245" s="20"/>
      <c r="V245" s="36"/>
      <c r="W245" s="12"/>
      <c r="X245" s="12"/>
      <c r="AB245" s="12"/>
      <c r="AC245" s="12"/>
      <c r="AG245" s="12"/>
      <c r="AH245" s="12"/>
      <c r="AK245" s="12"/>
      <c r="AL245" s="13"/>
      <c r="AM245" s="14"/>
      <c r="CK245" s="65"/>
      <c r="CL245" s="13"/>
      <c r="CO245" s="65"/>
      <c r="CP245" s="13"/>
      <c r="CS245" s="65"/>
      <c r="CT245" s="13"/>
      <c r="CW245" s="65"/>
      <c r="CX245" s="13"/>
      <c r="DA245" s="65"/>
      <c r="DB245" s="13"/>
      <c r="DE245" s="65"/>
      <c r="DF245" s="13"/>
      <c r="DI245" s="65"/>
      <c r="DJ245" s="13"/>
      <c r="DM245" s="65"/>
      <c r="DN245" s="13"/>
      <c r="DQ245" s="65"/>
      <c r="DR245" s="13"/>
      <c r="DU245" s="65"/>
      <c r="DV245" s="13"/>
      <c r="DY245" s="65"/>
      <c r="DZ245" s="13"/>
      <c r="EA245" s="14"/>
      <c r="EC245" s="65"/>
      <c r="ED245" s="13"/>
      <c r="EE245" s="14"/>
      <c r="EG245" s="65"/>
      <c r="EH245" s="13"/>
      <c r="EI245" s="14"/>
      <c r="EK245" s="65"/>
      <c r="EL245" s="13"/>
      <c r="EM245" s="14"/>
      <c r="EO245" s="65"/>
      <c r="EP245" s="13"/>
      <c r="EQ245" s="14"/>
      <c r="ES245" s="65"/>
      <c r="ET245" s="13"/>
      <c r="EU245" s="14"/>
      <c r="EW245" s="65"/>
      <c r="EX245" s="13"/>
      <c r="EY245" s="14"/>
      <c r="FA245" s="65"/>
      <c r="FB245" s="13"/>
      <c r="FC245" s="14"/>
      <c r="FE245" s="65"/>
      <c r="FF245" s="13"/>
      <c r="FG245" s="14"/>
      <c r="FI245" s="65"/>
      <c r="FJ245" s="13"/>
      <c r="FK245" s="14"/>
      <c r="FM245" s="65"/>
      <c r="FN245" s="13"/>
      <c r="FO245" s="14"/>
      <c r="FQ245" s="65"/>
      <c r="FR245" s="13"/>
      <c r="FS245" s="14"/>
      <c r="FU245" s="65"/>
      <c r="FV245" s="13"/>
      <c r="FW245" s="14"/>
      <c r="FY245" s="65"/>
      <c r="FZ245" s="13"/>
      <c r="GA245" s="14"/>
      <c r="GC245" s="65"/>
      <c r="GD245" s="13"/>
      <c r="GE245" s="14"/>
      <c r="GG245" s="65"/>
      <c r="GH245" s="13"/>
      <c r="GI245" s="14"/>
      <c r="GK245" s="65"/>
      <c r="GL245" s="13"/>
      <c r="GM245" s="14"/>
      <c r="GO245" s="65"/>
      <c r="GP245" s="13"/>
      <c r="GQ245" s="14"/>
      <c r="GS245" s="65"/>
      <c r="GT245" s="13"/>
      <c r="GU245" s="14"/>
      <c r="GW245" s="65"/>
      <c r="GX245" s="13"/>
      <c r="GY245" s="14"/>
      <c r="HA245" s="65"/>
      <c r="HB245" s="13"/>
      <c r="HC245" s="14"/>
      <c r="HE245" s="65"/>
      <c r="HF245" s="13"/>
      <c r="HG245" s="14"/>
      <c r="HI245" s="65"/>
      <c r="HJ245" s="13"/>
      <c r="HK245" s="14"/>
      <c r="HM245" s="65"/>
      <c r="HN245" s="13"/>
      <c r="HO245" s="14"/>
      <c r="HQ245" s="65"/>
      <c r="HR245" s="13"/>
      <c r="HS245" s="14"/>
      <c r="HU245" s="65"/>
      <c r="HV245" s="13"/>
      <c r="HW245" s="14"/>
      <c r="HY245" s="65"/>
      <c r="HZ245" s="13"/>
      <c r="IA245" s="14"/>
      <c r="IC245" s="65"/>
      <c r="ID245" s="13"/>
      <c r="IE245" s="14"/>
      <c r="IG245" s="65"/>
      <c r="IH245" s="13"/>
      <c r="II245" s="14"/>
      <c r="IK245" s="65"/>
      <c r="IL245" s="13"/>
      <c r="IM245" s="14"/>
      <c r="IO245" s="65"/>
      <c r="IP245" s="13"/>
      <c r="IQ245" s="14"/>
      <c r="IS245" s="65"/>
      <c r="IT245" s="13"/>
      <c r="IU245" s="14"/>
      <c r="IW245" s="65"/>
      <c r="IX245" s="13"/>
      <c r="IY245" s="14"/>
      <c r="JA245" s="65"/>
      <c r="JB245" s="13"/>
      <c r="JC245" s="14"/>
      <c r="JE245" s="65"/>
      <c r="JF245" s="13"/>
      <c r="JG245" s="14"/>
      <c r="JI245" s="65"/>
      <c r="JJ245" s="13"/>
      <c r="JK245" s="14"/>
      <c r="JM245" s="65"/>
      <c r="JN245" s="13"/>
      <c r="JO245" s="14"/>
      <c r="JQ245" s="65"/>
      <c r="JR245" s="13"/>
      <c r="JS245" s="14"/>
      <c r="JU245" s="65"/>
      <c r="JV245" s="13"/>
      <c r="JW245" s="14"/>
      <c r="JY245" s="65"/>
      <c r="JZ245" s="13"/>
      <c r="KA245" s="14"/>
      <c r="KC245" s="65"/>
      <c r="KD245" s="13"/>
      <c r="KE245" s="14"/>
      <c r="KG245" s="65"/>
      <c r="KH245" s="13"/>
      <c r="KI245" s="14"/>
      <c r="KK245" s="65"/>
      <c r="KL245" s="13"/>
      <c r="KM245" s="14"/>
      <c r="KO245" s="65"/>
      <c r="KP245" s="13"/>
      <c r="KQ245" s="14"/>
      <c r="KS245" s="65"/>
      <c r="KT245" s="13"/>
      <c r="KU245" s="14"/>
      <c r="KW245" s="65"/>
      <c r="KX245" s="13"/>
      <c r="KY245" s="14"/>
      <c r="LA245" s="65"/>
      <c r="LB245" s="13"/>
      <c r="LC245" s="14"/>
      <c r="LE245" s="65"/>
      <c r="LF245" s="13"/>
      <c r="LG245" s="14"/>
      <c r="LI245" s="65"/>
      <c r="LJ245" s="13"/>
      <c r="LK245" s="14"/>
      <c r="LM245" s="65"/>
      <c r="LN245" s="13"/>
      <c r="LO245" s="14"/>
      <c r="LQ245" s="65"/>
      <c r="LR245" s="13"/>
      <c r="LS245" s="14"/>
      <c r="LU245" s="65"/>
      <c r="LV245" s="13"/>
      <c r="LW245" s="14"/>
      <c r="LY245" s="65"/>
      <c r="LZ245" s="13"/>
      <c r="MA245" s="14"/>
      <c r="MC245" s="65"/>
      <c r="MD245" s="13"/>
      <c r="ME245" s="14"/>
      <c r="MG245" s="65"/>
      <c r="MH245" s="13"/>
      <c r="MI245" s="14"/>
      <c r="MK245" s="65"/>
      <c r="ML245" s="13"/>
      <c r="MM245" s="14"/>
      <c r="MO245" s="65"/>
      <c r="MP245" s="13"/>
      <c r="MQ245" s="14"/>
      <c r="MS245" s="65"/>
      <c r="MT245" s="13"/>
      <c r="MU245" s="14"/>
    </row>
    <row r="246" spans="1:359" hidden="1" x14ac:dyDescent="0.25">
      <c r="A246" s="15">
        <f t="shared" si="193"/>
        <v>0</v>
      </c>
      <c r="B246" s="20">
        <v>42940</v>
      </c>
      <c r="C246"/>
      <c r="D246" s="12"/>
      <c r="E246" s="12"/>
      <c r="I246" s="12"/>
      <c r="J246" s="12"/>
      <c r="N246" s="12"/>
      <c r="O246" s="12"/>
      <c r="T246" s="15"/>
      <c r="U246" s="20"/>
      <c r="V246" s="36"/>
      <c r="W246" s="12"/>
      <c r="X246" s="12"/>
      <c r="AB246" s="12"/>
      <c r="AC246" s="12"/>
      <c r="AG246" s="12"/>
      <c r="AH246" s="12"/>
      <c r="AK246" s="12"/>
      <c r="AL246" s="13"/>
      <c r="AM246" s="14"/>
      <c r="CK246" s="65"/>
      <c r="CL246" s="13"/>
      <c r="CO246" s="65"/>
      <c r="CP246" s="13"/>
      <c r="CS246" s="65"/>
      <c r="CT246" s="13"/>
      <c r="CW246" s="65"/>
      <c r="CX246" s="13"/>
      <c r="DA246" s="65"/>
      <c r="DB246" s="13"/>
      <c r="DE246" s="65"/>
      <c r="DF246" s="13"/>
      <c r="DI246" s="65"/>
      <c r="DJ246" s="13"/>
      <c r="DM246" s="65"/>
      <c r="DN246" s="13"/>
      <c r="DQ246" s="65"/>
      <c r="DR246" s="13"/>
      <c r="DU246" s="65"/>
      <c r="DV246" s="13"/>
      <c r="DY246" s="65"/>
      <c r="DZ246" s="13"/>
      <c r="EA246" s="14"/>
      <c r="EC246" s="65"/>
      <c r="ED246" s="13"/>
      <c r="EE246" s="14"/>
      <c r="EG246" s="65"/>
      <c r="EH246" s="13"/>
      <c r="EI246" s="14"/>
      <c r="EK246" s="65"/>
      <c r="EL246" s="13"/>
      <c r="EM246" s="14"/>
      <c r="EO246" s="65"/>
      <c r="EP246" s="13"/>
      <c r="EQ246" s="14"/>
      <c r="ES246" s="65"/>
      <c r="ET246" s="13"/>
      <c r="EU246" s="14"/>
      <c r="EW246" s="65"/>
      <c r="EX246" s="13"/>
      <c r="EY246" s="14"/>
      <c r="FA246" s="65"/>
      <c r="FB246" s="13"/>
      <c r="FC246" s="14"/>
      <c r="FE246" s="65"/>
      <c r="FF246" s="13"/>
      <c r="FG246" s="14"/>
      <c r="FI246" s="65"/>
      <c r="FJ246" s="13"/>
      <c r="FK246" s="14"/>
      <c r="FM246" s="65"/>
      <c r="FN246" s="13"/>
      <c r="FO246" s="14"/>
      <c r="FQ246" s="65"/>
      <c r="FR246" s="13"/>
      <c r="FS246" s="14"/>
      <c r="FU246" s="65"/>
      <c r="FV246" s="13"/>
      <c r="FW246" s="14"/>
      <c r="FY246" s="65"/>
      <c r="FZ246" s="13"/>
      <c r="GA246" s="14"/>
      <c r="GC246" s="65"/>
      <c r="GD246" s="13"/>
      <c r="GE246" s="14"/>
      <c r="GG246" s="65"/>
      <c r="GH246" s="13"/>
      <c r="GI246" s="14"/>
      <c r="GK246" s="65"/>
      <c r="GL246" s="13"/>
      <c r="GM246" s="14"/>
      <c r="GO246" s="65"/>
      <c r="GP246" s="13"/>
      <c r="GQ246" s="14"/>
      <c r="GS246" s="65"/>
      <c r="GT246" s="13"/>
      <c r="GU246" s="14"/>
      <c r="GW246" s="65"/>
      <c r="GX246" s="13"/>
      <c r="GY246" s="14"/>
      <c r="HA246" s="65"/>
      <c r="HB246" s="13"/>
      <c r="HC246" s="14"/>
      <c r="HE246" s="65"/>
      <c r="HF246" s="13"/>
      <c r="HG246" s="14"/>
      <c r="HI246" s="65"/>
      <c r="HJ246" s="13"/>
      <c r="HK246" s="14"/>
      <c r="HM246" s="65"/>
      <c r="HN246" s="13"/>
      <c r="HO246" s="14"/>
      <c r="HQ246" s="65"/>
      <c r="HR246" s="13"/>
      <c r="HS246" s="14"/>
      <c r="HU246" s="65"/>
      <c r="HV246" s="13"/>
      <c r="HW246" s="14"/>
      <c r="HY246" s="65"/>
      <c r="HZ246" s="13"/>
      <c r="IA246" s="14"/>
      <c r="IC246" s="65"/>
      <c r="ID246" s="13"/>
      <c r="IE246" s="14"/>
      <c r="IG246" s="65"/>
      <c r="IH246" s="13"/>
      <c r="II246" s="14"/>
      <c r="IK246" s="65"/>
      <c r="IL246" s="13"/>
      <c r="IM246" s="14"/>
      <c r="IO246" s="65"/>
      <c r="IP246" s="13"/>
      <c r="IQ246" s="14"/>
      <c r="IS246" s="65"/>
      <c r="IT246" s="13"/>
      <c r="IU246" s="14"/>
      <c r="IW246" s="65"/>
      <c r="IX246" s="13"/>
      <c r="IY246" s="14"/>
      <c r="JA246" s="65"/>
      <c r="JB246" s="13"/>
      <c r="JC246" s="14"/>
      <c r="JE246" s="65"/>
      <c r="JF246" s="13"/>
      <c r="JG246" s="14"/>
      <c r="JI246" s="65"/>
      <c r="JJ246" s="13"/>
      <c r="JK246" s="14"/>
      <c r="JM246" s="65"/>
      <c r="JN246" s="13"/>
      <c r="JO246" s="14"/>
      <c r="JQ246" s="65"/>
      <c r="JR246" s="13"/>
      <c r="JS246" s="14"/>
      <c r="JU246" s="65"/>
      <c r="JV246" s="13"/>
      <c r="JW246" s="14"/>
      <c r="JY246" s="65"/>
      <c r="JZ246" s="13"/>
      <c r="KA246" s="14"/>
      <c r="KC246" s="65"/>
      <c r="KD246" s="13"/>
      <c r="KE246" s="14"/>
      <c r="KG246" s="65"/>
      <c r="KH246" s="13"/>
      <c r="KI246" s="14"/>
      <c r="KK246" s="65"/>
      <c r="KL246" s="13"/>
      <c r="KM246" s="14"/>
      <c r="KO246" s="65"/>
      <c r="KP246" s="13"/>
      <c r="KQ246" s="14"/>
      <c r="KS246" s="65"/>
      <c r="KT246" s="13"/>
      <c r="KU246" s="14"/>
      <c r="KW246" s="65"/>
      <c r="KX246" s="13"/>
      <c r="KY246" s="14"/>
      <c r="LA246" s="65"/>
      <c r="LB246" s="13"/>
      <c r="LC246" s="14"/>
      <c r="LE246" s="65"/>
      <c r="LF246" s="13"/>
      <c r="LG246" s="14"/>
      <c r="LI246" s="65"/>
      <c r="LJ246" s="13"/>
      <c r="LK246" s="14"/>
      <c r="LM246" s="65"/>
      <c r="LN246" s="13"/>
      <c r="LO246" s="14"/>
      <c r="LQ246" s="65"/>
      <c r="LR246" s="13"/>
      <c r="LS246" s="14"/>
      <c r="LU246" s="65"/>
      <c r="LV246" s="13"/>
      <c r="LW246" s="14"/>
      <c r="LY246" s="65"/>
      <c r="LZ246" s="13"/>
      <c r="MA246" s="14"/>
      <c r="MC246" s="65"/>
      <c r="MD246" s="13"/>
      <c r="ME246" s="14"/>
      <c r="MG246" s="65"/>
      <c r="MH246" s="13"/>
      <c r="MI246" s="14"/>
      <c r="MK246" s="65"/>
      <c r="ML246" s="13"/>
      <c r="MM246" s="14"/>
      <c r="MO246" s="65"/>
      <c r="MP246" s="13"/>
      <c r="MQ246" s="14"/>
      <c r="MS246" s="65"/>
      <c r="MT246" s="13"/>
      <c r="MU246" s="14"/>
    </row>
    <row r="247" spans="1:359" hidden="1" x14ac:dyDescent="0.25">
      <c r="A247" s="15">
        <f t="shared" si="193"/>
        <v>0</v>
      </c>
      <c r="B247" s="20">
        <v>42941</v>
      </c>
      <c r="C247"/>
      <c r="D247" s="12"/>
      <c r="E247" s="12"/>
      <c r="I247" s="12"/>
      <c r="J247" s="12"/>
      <c r="N247" s="12"/>
      <c r="O247" s="12"/>
      <c r="T247" s="15"/>
      <c r="U247" s="20"/>
      <c r="V247" s="36"/>
      <c r="W247" s="12"/>
      <c r="X247" s="12"/>
      <c r="AB247" s="12"/>
      <c r="AC247" s="12"/>
      <c r="AG247" s="12"/>
      <c r="AH247" s="12"/>
      <c r="AK247" s="12"/>
      <c r="AL247" s="13"/>
      <c r="AM247" s="14"/>
      <c r="CK247" s="65"/>
      <c r="CL247" s="13"/>
      <c r="CO247" s="65"/>
      <c r="CP247" s="13"/>
      <c r="CS247" s="65"/>
      <c r="CT247" s="13"/>
      <c r="CW247" s="65"/>
      <c r="CX247" s="13"/>
      <c r="DA247" s="65"/>
      <c r="DB247" s="13"/>
      <c r="DE247" s="65"/>
      <c r="DF247" s="13"/>
      <c r="DI247" s="65"/>
      <c r="DJ247" s="13"/>
      <c r="DM247" s="65"/>
      <c r="DN247" s="13"/>
      <c r="DQ247" s="65"/>
      <c r="DR247" s="13"/>
      <c r="DU247" s="65"/>
      <c r="DV247" s="13"/>
      <c r="DY247" s="65"/>
      <c r="DZ247" s="13"/>
      <c r="EA247" s="14"/>
      <c r="EC247" s="65"/>
      <c r="ED247" s="13"/>
      <c r="EE247" s="14"/>
      <c r="EG247" s="65"/>
      <c r="EH247" s="13"/>
      <c r="EI247" s="14"/>
      <c r="EK247" s="65"/>
      <c r="EL247" s="13"/>
      <c r="EM247" s="14"/>
      <c r="EO247" s="65"/>
      <c r="EP247" s="13"/>
      <c r="EQ247" s="14"/>
      <c r="ES247" s="65"/>
      <c r="ET247" s="13"/>
      <c r="EU247" s="14"/>
      <c r="EW247" s="65"/>
      <c r="EX247" s="13"/>
      <c r="EY247" s="14"/>
      <c r="FA247" s="65"/>
      <c r="FB247" s="13"/>
      <c r="FC247" s="14"/>
      <c r="FE247" s="65"/>
      <c r="FF247" s="13"/>
      <c r="FG247" s="14"/>
      <c r="FI247" s="65"/>
      <c r="FJ247" s="13"/>
      <c r="FK247" s="14"/>
      <c r="FM247" s="65"/>
      <c r="FN247" s="13"/>
      <c r="FO247" s="14"/>
      <c r="FQ247" s="65"/>
      <c r="FR247" s="13"/>
      <c r="FS247" s="14"/>
      <c r="FU247" s="65"/>
      <c r="FV247" s="13"/>
      <c r="FW247" s="14"/>
      <c r="FY247" s="65"/>
      <c r="FZ247" s="13"/>
      <c r="GA247" s="14"/>
      <c r="GC247" s="65"/>
      <c r="GD247" s="13"/>
      <c r="GE247" s="14"/>
      <c r="GG247" s="65"/>
      <c r="GH247" s="13"/>
      <c r="GI247" s="14"/>
      <c r="GK247" s="65"/>
      <c r="GL247" s="13"/>
      <c r="GM247" s="14"/>
      <c r="GO247" s="65"/>
      <c r="GP247" s="13"/>
      <c r="GQ247" s="14"/>
      <c r="GS247" s="65"/>
      <c r="GT247" s="13"/>
      <c r="GU247" s="14"/>
      <c r="GW247" s="65"/>
      <c r="GX247" s="13"/>
      <c r="GY247" s="14"/>
      <c r="HA247" s="65"/>
      <c r="HB247" s="13"/>
      <c r="HC247" s="14"/>
      <c r="HE247" s="65"/>
      <c r="HF247" s="13"/>
      <c r="HG247" s="14"/>
      <c r="HI247" s="65"/>
      <c r="HJ247" s="13"/>
      <c r="HK247" s="14"/>
      <c r="HM247" s="65"/>
      <c r="HN247" s="13"/>
      <c r="HO247" s="14"/>
      <c r="HQ247" s="65"/>
      <c r="HR247" s="13"/>
      <c r="HS247" s="14"/>
      <c r="HU247" s="65"/>
      <c r="HV247" s="13"/>
      <c r="HW247" s="14"/>
      <c r="HY247" s="65"/>
      <c r="HZ247" s="13"/>
      <c r="IA247" s="14"/>
      <c r="IC247" s="65"/>
      <c r="ID247" s="13"/>
      <c r="IE247" s="14"/>
      <c r="IG247" s="65"/>
      <c r="IH247" s="13"/>
      <c r="II247" s="14"/>
      <c r="IK247" s="65"/>
      <c r="IL247" s="13"/>
      <c r="IM247" s="14"/>
      <c r="IO247" s="65"/>
      <c r="IP247" s="13"/>
      <c r="IQ247" s="14"/>
      <c r="IS247" s="65"/>
      <c r="IT247" s="13"/>
      <c r="IU247" s="14"/>
      <c r="IW247" s="65"/>
      <c r="IX247" s="13"/>
      <c r="IY247" s="14"/>
      <c r="JA247" s="65"/>
      <c r="JB247" s="13"/>
      <c r="JC247" s="14"/>
      <c r="JE247" s="65"/>
      <c r="JF247" s="13"/>
      <c r="JG247" s="14"/>
      <c r="JI247" s="65"/>
      <c r="JJ247" s="13"/>
      <c r="JK247" s="14"/>
      <c r="JM247" s="65"/>
      <c r="JN247" s="13"/>
      <c r="JO247" s="14"/>
      <c r="JQ247" s="65"/>
      <c r="JR247" s="13"/>
      <c r="JS247" s="14"/>
      <c r="JU247" s="65"/>
      <c r="JV247" s="13"/>
      <c r="JW247" s="14"/>
      <c r="JY247" s="65"/>
      <c r="JZ247" s="13"/>
      <c r="KA247" s="14"/>
      <c r="KC247" s="65"/>
      <c r="KD247" s="13"/>
      <c r="KE247" s="14"/>
      <c r="KG247" s="65"/>
      <c r="KH247" s="13"/>
      <c r="KI247" s="14"/>
      <c r="KK247" s="65"/>
      <c r="KL247" s="13"/>
      <c r="KM247" s="14"/>
      <c r="KO247" s="65"/>
      <c r="KP247" s="13"/>
      <c r="KQ247" s="14"/>
      <c r="KS247" s="65"/>
      <c r="KT247" s="13"/>
      <c r="KU247" s="14"/>
      <c r="KW247" s="65"/>
      <c r="KX247" s="13"/>
      <c r="KY247" s="14"/>
      <c r="LA247" s="65"/>
      <c r="LB247" s="13"/>
      <c r="LC247" s="14"/>
      <c r="LE247" s="65"/>
      <c r="LF247" s="13"/>
      <c r="LG247" s="14"/>
      <c r="LI247" s="65"/>
      <c r="LJ247" s="13"/>
      <c r="LK247" s="14"/>
      <c r="LM247" s="65"/>
      <c r="LN247" s="13"/>
      <c r="LO247" s="14"/>
      <c r="LQ247" s="65"/>
      <c r="LR247" s="13"/>
      <c r="LS247" s="14"/>
      <c r="LU247" s="65"/>
      <c r="LV247" s="13"/>
      <c r="LW247" s="14"/>
      <c r="LY247" s="65"/>
      <c r="LZ247" s="13"/>
      <c r="MA247" s="14"/>
      <c r="MC247" s="65"/>
      <c r="MD247" s="13"/>
      <c r="ME247" s="14"/>
      <c r="MG247" s="65"/>
      <c r="MH247" s="13"/>
      <c r="MI247" s="14"/>
      <c r="MK247" s="65"/>
      <c r="ML247" s="13"/>
      <c r="MM247" s="14"/>
      <c r="MO247" s="65"/>
      <c r="MP247" s="13"/>
      <c r="MQ247" s="14"/>
      <c r="MS247" s="65"/>
      <c r="MT247" s="13"/>
      <c r="MU247" s="14"/>
    </row>
    <row r="248" spans="1:359" hidden="1" x14ac:dyDescent="0.25">
      <c r="A248" s="15">
        <f t="shared" si="193"/>
        <v>0</v>
      </c>
      <c r="B248" s="20">
        <v>42942</v>
      </c>
      <c r="C248"/>
      <c r="D248" s="12"/>
      <c r="E248" s="12"/>
      <c r="I248" s="12"/>
      <c r="J248" s="12"/>
      <c r="N248" s="12"/>
      <c r="O248" s="12"/>
      <c r="T248" s="15"/>
      <c r="U248" s="20"/>
      <c r="V248" s="36"/>
      <c r="W248" s="12"/>
      <c r="X248" s="12"/>
      <c r="AB248" s="12"/>
      <c r="AC248" s="12"/>
      <c r="AG248" s="12"/>
      <c r="AH248" s="12"/>
      <c r="AK248" s="12"/>
      <c r="AL248" s="13"/>
      <c r="AM248" s="14"/>
      <c r="CK248" s="65"/>
      <c r="CL248" s="13"/>
      <c r="CO248" s="65"/>
      <c r="CP248" s="13"/>
      <c r="CS248" s="65"/>
      <c r="CT248" s="13"/>
      <c r="CW248" s="65"/>
      <c r="CX248" s="13"/>
      <c r="DA248" s="65"/>
      <c r="DB248" s="13"/>
      <c r="DE248" s="65"/>
      <c r="DF248" s="13"/>
      <c r="DI248" s="65"/>
      <c r="DJ248" s="13"/>
      <c r="DM248" s="65"/>
      <c r="DN248" s="13"/>
      <c r="DQ248" s="65"/>
      <c r="DR248" s="13"/>
      <c r="DU248" s="65"/>
      <c r="DV248" s="13"/>
      <c r="DY248" s="65"/>
      <c r="DZ248" s="13"/>
      <c r="EA248" s="14"/>
      <c r="EC248" s="65"/>
      <c r="ED248" s="13"/>
      <c r="EE248" s="14"/>
      <c r="EG248" s="65"/>
      <c r="EH248" s="13"/>
      <c r="EI248" s="14"/>
      <c r="EK248" s="65"/>
      <c r="EL248" s="13"/>
      <c r="EM248" s="14"/>
      <c r="EO248" s="65"/>
      <c r="EP248" s="13"/>
      <c r="EQ248" s="14"/>
      <c r="ES248" s="65"/>
      <c r="ET248" s="13"/>
      <c r="EU248" s="14"/>
      <c r="EW248" s="65"/>
      <c r="EX248" s="13"/>
      <c r="EY248" s="14"/>
      <c r="FA248" s="65"/>
      <c r="FB248" s="13"/>
      <c r="FC248" s="14"/>
      <c r="FE248" s="65"/>
      <c r="FF248" s="13"/>
      <c r="FG248" s="14"/>
      <c r="FI248" s="65"/>
      <c r="FJ248" s="13"/>
      <c r="FK248" s="14"/>
      <c r="FM248" s="65"/>
      <c r="FN248" s="13"/>
      <c r="FO248" s="14"/>
      <c r="FQ248" s="65"/>
      <c r="FR248" s="13"/>
      <c r="FS248" s="14"/>
      <c r="FU248" s="65"/>
      <c r="FV248" s="13"/>
      <c r="FW248" s="14"/>
      <c r="FY248" s="65"/>
      <c r="FZ248" s="13"/>
      <c r="GA248" s="14"/>
      <c r="GC248" s="65"/>
      <c r="GD248" s="13"/>
      <c r="GE248" s="14"/>
      <c r="GG248" s="65"/>
      <c r="GH248" s="13"/>
      <c r="GI248" s="14"/>
      <c r="GK248" s="65"/>
      <c r="GL248" s="13"/>
      <c r="GM248" s="14"/>
      <c r="GO248" s="65"/>
      <c r="GP248" s="13"/>
      <c r="GQ248" s="14"/>
      <c r="GS248" s="65"/>
      <c r="GT248" s="13"/>
      <c r="GU248" s="14"/>
      <c r="GW248" s="65"/>
      <c r="GX248" s="13"/>
      <c r="GY248" s="14"/>
      <c r="HA248" s="65"/>
      <c r="HB248" s="13"/>
      <c r="HC248" s="14"/>
      <c r="HE248" s="65"/>
      <c r="HF248" s="13"/>
      <c r="HG248" s="14"/>
      <c r="HI248" s="65"/>
      <c r="HJ248" s="13"/>
      <c r="HK248" s="14"/>
      <c r="HM248" s="65"/>
      <c r="HN248" s="13"/>
      <c r="HO248" s="14"/>
      <c r="HQ248" s="65"/>
      <c r="HR248" s="13"/>
      <c r="HS248" s="14"/>
      <c r="HU248" s="65"/>
      <c r="HV248" s="13"/>
      <c r="HW248" s="14"/>
      <c r="HY248" s="65"/>
      <c r="HZ248" s="13"/>
      <c r="IA248" s="14"/>
      <c r="IC248" s="65"/>
      <c r="ID248" s="13"/>
      <c r="IE248" s="14"/>
      <c r="IG248" s="65"/>
      <c r="IH248" s="13"/>
      <c r="II248" s="14"/>
      <c r="IK248" s="65"/>
      <c r="IL248" s="13"/>
      <c r="IM248" s="14"/>
      <c r="IO248" s="65"/>
      <c r="IP248" s="13"/>
      <c r="IQ248" s="14"/>
      <c r="IS248" s="65"/>
      <c r="IT248" s="13"/>
      <c r="IU248" s="14"/>
      <c r="IW248" s="65"/>
      <c r="IX248" s="13"/>
      <c r="IY248" s="14"/>
      <c r="JA248" s="65"/>
      <c r="JB248" s="13"/>
      <c r="JC248" s="14"/>
      <c r="JE248" s="65"/>
      <c r="JF248" s="13"/>
      <c r="JG248" s="14"/>
      <c r="JI248" s="65"/>
      <c r="JJ248" s="13"/>
      <c r="JK248" s="14"/>
      <c r="JM248" s="65"/>
      <c r="JN248" s="13"/>
      <c r="JO248" s="14"/>
      <c r="JQ248" s="65"/>
      <c r="JR248" s="13"/>
      <c r="JS248" s="14"/>
      <c r="JU248" s="65"/>
      <c r="JV248" s="13"/>
      <c r="JW248" s="14"/>
      <c r="JY248" s="65"/>
      <c r="JZ248" s="13"/>
      <c r="KA248" s="14"/>
      <c r="KC248" s="65"/>
      <c r="KD248" s="13"/>
      <c r="KE248" s="14"/>
      <c r="KG248" s="65"/>
      <c r="KH248" s="13"/>
      <c r="KI248" s="14"/>
      <c r="KK248" s="65"/>
      <c r="KL248" s="13"/>
      <c r="KM248" s="14"/>
      <c r="KO248" s="65"/>
      <c r="KP248" s="13"/>
      <c r="KQ248" s="14"/>
      <c r="KS248" s="65"/>
      <c r="KT248" s="13"/>
      <c r="KU248" s="14"/>
      <c r="KW248" s="65"/>
      <c r="KX248" s="13"/>
      <c r="KY248" s="14"/>
      <c r="LA248" s="65"/>
      <c r="LB248" s="13"/>
      <c r="LC248" s="14"/>
      <c r="LE248" s="65"/>
      <c r="LF248" s="13"/>
      <c r="LG248" s="14"/>
      <c r="LI248" s="65"/>
      <c r="LJ248" s="13"/>
      <c r="LK248" s="14"/>
      <c r="LM248" s="65"/>
      <c r="LN248" s="13"/>
      <c r="LO248" s="14"/>
      <c r="LQ248" s="65"/>
      <c r="LR248" s="13"/>
      <c r="LS248" s="14"/>
      <c r="LU248" s="65"/>
      <c r="LV248" s="13"/>
      <c r="LW248" s="14"/>
      <c r="LY248" s="65"/>
      <c r="LZ248" s="13"/>
      <c r="MA248" s="14"/>
      <c r="MC248" s="65"/>
      <c r="MD248" s="13"/>
      <c r="ME248" s="14"/>
      <c r="MG248" s="65"/>
      <c r="MH248" s="13"/>
      <c r="MI248" s="14"/>
      <c r="MK248" s="65"/>
      <c r="ML248" s="13"/>
      <c r="MM248" s="14"/>
      <c r="MO248" s="65"/>
      <c r="MP248" s="13"/>
      <c r="MQ248" s="14"/>
      <c r="MS248" s="65"/>
      <c r="MT248" s="13"/>
      <c r="MU248" s="14"/>
    </row>
    <row r="249" spans="1:359" hidden="1" x14ac:dyDescent="0.25">
      <c r="A249" s="15">
        <f t="shared" si="193"/>
        <v>0</v>
      </c>
      <c r="B249" s="20">
        <v>42943</v>
      </c>
      <c r="C249"/>
      <c r="D249" s="12"/>
      <c r="E249" s="12"/>
      <c r="I249" s="12"/>
      <c r="J249" s="12"/>
      <c r="N249" s="12"/>
      <c r="O249" s="12"/>
      <c r="T249" s="15"/>
      <c r="U249" s="20"/>
      <c r="V249" s="36"/>
      <c r="W249" s="12"/>
      <c r="X249" s="12"/>
      <c r="AB249" s="12"/>
      <c r="AC249" s="12"/>
      <c r="AG249" s="12"/>
      <c r="AH249" s="12"/>
      <c r="AK249" s="12"/>
      <c r="AL249" s="13"/>
      <c r="AM249" s="14"/>
      <c r="CK249" s="65"/>
      <c r="CL249" s="13"/>
      <c r="CO249" s="65"/>
      <c r="CP249" s="13"/>
      <c r="CS249" s="65"/>
      <c r="CT249" s="13"/>
      <c r="CW249" s="65"/>
      <c r="CX249" s="13"/>
      <c r="DA249" s="65"/>
      <c r="DB249" s="13"/>
      <c r="DE249" s="65"/>
      <c r="DF249" s="13"/>
      <c r="DI249" s="65"/>
      <c r="DJ249" s="13"/>
      <c r="DM249" s="65"/>
      <c r="DN249" s="13"/>
      <c r="DQ249" s="65"/>
      <c r="DR249" s="13"/>
      <c r="DU249" s="65"/>
      <c r="DV249" s="13"/>
      <c r="DY249" s="65"/>
      <c r="DZ249" s="13"/>
      <c r="EA249" s="14"/>
      <c r="EC249" s="65"/>
      <c r="ED249" s="13"/>
      <c r="EE249" s="14"/>
      <c r="EG249" s="65"/>
      <c r="EH249" s="13"/>
      <c r="EI249" s="14"/>
      <c r="EK249" s="65"/>
      <c r="EL249" s="13"/>
      <c r="EM249" s="14"/>
      <c r="EO249" s="65"/>
      <c r="EP249" s="13"/>
      <c r="EQ249" s="14"/>
      <c r="ES249" s="65"/>
      <c r="ET249" s="13"/>
      <c r="EU249" s="14"/>
      <c r="EW249" s="65"/>
      <c r="EX249" s="13"/>
      <c r="EY249" s="14"/>
      <c r="FA249" s="65"/>
      <c r="FB249" s="13"/>
      <c r="FC249" s="14"/>
      <c r="FE249" s="65"/>
      <c r="FF249" s="13"/>
      <c r="FG249" s="14"/>
      <c r="FI249" s="65"/>
      <c r="FJ249" s="13"/>
      <c r="FK249" s="14"/>
      <c r="FM249" s="65"/>
      <c r="FN249" s="13"/>
      <c r="FO249" s="14"/>
      <c r="FQ249" s="65"/>
      <c r="FR249" s="13"/>
      <c r="FS249" s="14"/>
      <c r="FU249" s="65"/>
      <c r="FV249" s="13"/>
      <c r="FW249" s="14"/>
      <c r="FY249" s="65"/>
      <c r="FZ249" s="13"/>
      <c r="GA249" s="14"/>
      <c r="GC249" s="65"/>
      <c r="GD249" s="13"/>
      <c r="GE249" s="14"/>
      <c r="GG249" s="65"/>
      <c r="GH249" s="13"/>
      <c r="GI249" s="14"/>
      <c r="GK249" s="65"/>
      <c r="GL249" s="13"/>
      <c r="GM249" s="14"/>
      <c r="GO249" s="65"/>
      <c r="GP249" s="13"/>
      <c r="GQ249" s="14"/>
      <c r="GS249" s="65"/>
      <c r="GT249" s="13"/>
      <c r="GU249" s="14"/>
      <c r="GW249" s="65"/>
      <c r="GX249" s="13"/>
      <c r="GY249" s="14"/>
      <c r="HA249" s="65"/>
      <c r="HB249" s="13"/>
      <c r="HC249" s="14"/>
      <c r="HE249" s="65"/>
      <c r="HF249" s="13"/>
      <c r="HG249" s="14"/>
      <c r="HI249" s="65"/>
      <c r="HJ249" s="13"/>
      <c r="HK249" s="14"/>
      <c r="HM249" s="65"/>
      <c r="HN249" s="13"/>
      <c r="HO249" s="14"/>
      <c r="HQ249" s="65"/>
      <c r="HR249" s="13"/>
      <c r="HS249" s="14"/>
      <c r="HU249" s="65"/>
      <c r="HV249" s="13"/>
      <c r="HW249" s="14"/>
      <c r="HY249" s="65"/>
      <c r="HZ249" s="13"/>
      <c r="IA249" s="14"/>
      <c r="IC249" s="65"/>
      <c r="ID249" s="13"/>
      <c r="IE249" s="14"/>
      <c r="IG249" s="65"/>
      <c r="IH249" s="13"/>
      <c r="II249" s="14"/>
      <c r="IK249" s="65"/>
      <c r="IL249" s="13"/>
      <c r="IM249" s="14"/>
      <c r="IO249" s="65"/>
      <c r="IP249" s="13"/>
      <c r="IQ249" s="14"/>
      <c r="IS249" s="65"/>
      <c r="IT249" s="13"/>
      <c r="IU249" s="14"/>
      <c r="IW249" s="65"/>
      <c r="IX249" s="13"/>
      <c r="IY249" s="14"/>
      <c r="JA249" s="65"/>
      <c r="JB249" s="13"/>
      <c r="JC249" s="14"/>
      <c r="JE249" s="65"/>
      <c r="JF249" s="13"/>
      <c r="JG249" s="14"/>
      <c r="JI249" s="65"/>
      <c r="JJ249" s="13"/>
      <c r="JK249" s="14"/>
      <c r="JM249" s="65"/>
      <c r="JN249" s="13"/>
      <c r="JO249" s="14"/>
      <c r="JQ249" s="65"/>
      <c r="JR249" s="13"/>
      <c r="JS249" s="14"/>
      <c r="JU249" s="65"/>
      <c r="JV249" s="13"/>
      <c r="JW249" s="14"/>
      <c r="JY249" s="65"/>
      <c r="JZ249" s="13"/>
      <c r="KA249" s="14"/>
      <c r="KC249" s="65"/>
      <c r="KD249" s="13"/>
      <c r="KE249" s="14"/>
      <c r="KG249" s="65"/>
      <c r="KH249" s="13"/>
      <c r="KI249" s="14"/>
      <c r="KK249" s="65"/>
      <c r="KL249" s="13"/>
      <c r="KM249" s="14"/>
      <c r="KO249" s="65"/>
      <c r="KP249" s="13"/>
      <c r="KQ249" s="14"/>
      <c r="KS249" s="65"/>
      <c r="KT249" s="13"/>
      <c r="KU249" s="14"/>
      <c r="KW249" s="65"/>
      <c r="KX249" s="13"/>
      <c r="KY249" s="14"/>
      <c r="LA249" s="65"/>
      <c r="LB249" s="13"/>
      <c r="LC249" s="14"/>
      <c r="LE249" s="65"/>
      <c r="LF249" s="13"/>
      <c r="LG249" s="14"/>
      <c r="LI249" s="65"/>
      <c r="LJ249" s="13"/>
      <c r="LK249" s="14"/>
      <c r="LM249" s="65"/>
      <c r="LN249" s="13"/>
      <c r="LO249" s="14"/>
      <c r="LQ249" s="65"/>
      <c r="LR249" s="13"/>
      <c r="LS249" s="14"/>
      <c r="LU249" s="65"/>
      <c r="LV249" s="13"/>
      <c r="LW249" s="14"/>
      <c r="LY249" s="65"/>
      <c r="LZ249" s="13"/>
      <c r="MA249" s="14"/>
      <c r="MC249" s="65"/>
      <c r="MD249" s="13"/>
      <c r="ME249" s="14"/>
      <c r="MG249" s="65"/>
      <c r="MH249" s="13"/>
      <c r="MI249" s="14"/>
      <c r="MK249" s="65"/>
      <c r="ML249" s="13"/>
      <c r="MM249" s="14"/>
      <c r="MO249" s="65"/>
      <c r="MP249" s="13"/>
      <c r="MQ249" s="14"/>
      <c r="MS249" s="65"/>
      <c r="MT249" s="13"/>
      <c r="MU249" s="14"/>
    </row>
    <row r="250" spans="1:359" hidden="1" x14ac:dyDescent="0.25">
      <c r="A250" s="15">
        <f t="shared" si="193"/>
        <v>0</v>
      </c>
      <c r="B250" s="20">
        <v>42944</v>
      </c>
      <c r="C250"/>
      <c r="D250" s="12"/>
      <c r="E250" s="12"/>
      <c r="I250" s="12"/>
      <c r="J250" s="12"/>
      <c r="N250" s="12"/>
      <c r="O250" s="12"/>
      <c r="T250" s="15"/>
      <c r="U250" s="20"/>
      <c r="V250" s="36"/>
      <c r="W250" s="12"/>
      <c r="X250" s="12"/>
      <c r="AB250" s="12"/>
      <c r="AC250" s="12"/>
      <c r="AG250" s="12"/>
      <c r="AH250" s="12"/>
      <c r="AK250" s="12"/>
      <c r="AL250" s="13"/>
      <c r="AM250" s="14"/>
      <c r="CK250" s="65"/>
      <c r="CL250" s="13"/>
      <c r="CO250" s="65"/>
      <c r="CP250" s="13"/>
      <c r="CS250" s="65"/>
      <c r="CT250" s="13"/>
      <c r="CW250" s="65"/>
      <c r="CX250" s="13"/>
      <c r="DA250" s="65"/>
      <c r="DB250" s="13"/>
      <c r="DE250" s="65"/>
      <c r="DF250" s="13"/>
      <c r="DI250" s="65"/>
      <c r="DJ250" s="13"/>
      <c r="DM250" s="65"/>
      <c r="DN250" s="13"/>
      <c r="DQ250" s="65"/>
      <c r="DR250" s="13"/>
      <c r="DU250" s="65"/>
      <c r="DV250" s="13"/>
      <c r="DY250" s="65"/>
      <c r="DZ250" s="13"/>
      <c r="EA250" s="14"/>
      <c r="EC250" s="65"/>
      <c r="ED250" s="13"/>
      <c r="EE250" s="14"/>
      <c r="EG250" s="65"/>
      <c r="EH250" s="13"/>
      <c r="EI250" s="14"/>
      <c r="EK250" s="65"/>
      <c r="EL250" s="13"/>
      <c r="EM250" s="14"/>
      <c r="EO250" s="65"/>
      <c r="EP250" s="13"/>
      <c r="EQ250" s="14"/>
      <c r="ES250" s="65"/>
      <c r="ET250" s="13"/>
      <c r="EU250" s="14"/>
      <c r="EW250" s="65"/>
      <c r="EX250" s="13"/>
      <c r="EY250" s="14"/>
      <c r="FA250" s="65"/>
      <c r="FB250" s="13"/>
      <c r="FC250" s="14"/>
      <c r="FE250" s="65"/>
      <c r="FF250" s="13"/>
      <c r="FG250" s="14"/>
      <c r="FI250" s="65"/>
      <c r="FJ250" s="13"/>
      <c r="FK250" s="14"/>
      <c r="FM250" s="65"/>
      <c r="FN250" s="13"/>
      <c r="FO250" s="14"/>
      <c r="FQ250" s="65"/>
      <c r="FR250" s="13"/>
      <c r="FS250" s="14"/>
      <c r="FU250" s="65"/>
      <c r="FV250" s="13"/>
      <c r="FW250" s="14"/>
      <c r="FY250" s="65"/>
      <c r="FZ250" s="13"/>
      <c r="GA250" s="14"/>
      <c r="GC250" s="65"/>
      <c r="GD250" s="13"/>
      <c r="GE250" s="14"/>
      <c r="GG250" s="65"/>
      <c r="GH250" s="13"/>
      <c r="GI250" s="14"/>
      <c r="GK250" s="65"/>
      <c r="GL250" s="13"/>
      <c r="GM250" s="14"/>
      <c r="GO250" s="65"/>
      <c r="GP250" s="13"/>
      <c r="GQ250" s="14"/>
      <c r="GS250" s="65"/>
      <c r="GT250" s="13"/>
      <c r="GU250" s="14"/>
      <c r="GW250" s="65"/>
      <c r="GX250" s="13"/>
      <c r="GY250" s="14"/>
      <c r="HA250" s="65"/>
      <c r="HB250" s="13"/>
      <c r="HC250" s="14"/>
      <c r="HE250" s="65"/>
      <c r="HF250" s="13"/>
      <c r="HG250" s="14"/>
      <c r="HI250" s="65"/>
      <c r="HJ250" s="13"/>
      <c r="HK250" s="14"/>
      <c r="HM250" s="65"/>
      <c r="HN250" s="13"/>
      <c r="HO250" s="14"/>
      <c r="HQ250" s="65"/>
      <c r="HR250" s="13"/>
      <c r="HS250" s="14"/>
      <c r="HU250" s="65"/>
      <c r="HV250" s="13"/>
      <c r="HW250" s="14"/>
      <c r="HY250" s="65"/>
      <c r="HZ250" s="13"/>
      <c r="IA250" s="14"/>
      <c r="IC250" s="65"/>
      <c r="ID250" s="13"/>
      <c r="IE250" s="14"/>
      <c r="IG250" s="65"/>
      <c r="IH250" s="13"/>
      <c r="II250" s="14"/>
      <c r="IK250" s="65"/>
      <c r="IL250" s="13"/>
      <c r="IM250" s="14"/>
      <c r="IO250" s="65"/>
      <c r="IP250" s="13"/>
      <c r="IQ250" s="14"/>
      <c r="IS250" s="65"/>
      <c r="IT250" s="13"/>
      <c r="IU250" s="14"/>
      <c r="IW250" s="65"/>
      <c r="IX250" s="13"/>
      <c r="IY250" s="14"/>
      <c r="JA250" s="65"/>
      <c r="JB250" s="13"/>
      <c r="JC250" s="14"/>
      <c r="JE250" s="65"/>
      <c r="JF250" s="13"/>
      <c r="JG250" s="14"/>
      <c r="JI250" s="65"/>
      <c r="JJ250" s="13"/>
      <c r="JK250" s="14"/>
      <c r="JM250" s="65"/>
      <c r="JN250" s="13"/>
      <c r="JO250" s="14"/>
      <c r="JQ250" s="65"/>
      <c r="JR250" s="13"/>
      <c r="JS250" s="14"/>
      <c r="JU250" s="65"/>
      <c r="JV250" s="13"/>
      <c r="JW250" s="14"/>
      <c r="JY250" s="65"/>
      <c r="JZ250" s="13"/>
      <c r="KA250" s="14"/>
      <c r="KC250" s="65"/>
      <c r="KD250" s="13"/>
      <c r="KE250" s="14"/>
      <c r="KG250" s="65"/>
      <c r="KH250" s="13"/>
      <c r="KI250" s="14"/>
      <c r="KK250" s="65"/>
      <c r="KL250" s="13"/>
      <c r="KM250" s="14"/>
      <c r="KO250" s="65"/>
      <c r="KP250" s="13"/>
      <c r="KQ250" s="14"/>
      <c r="KS250" s="65"/>
      <c r="KT250" s="13"/>
      <c r="KU250" s="14"/>
      <c r="KW250" s="65"/>
      <c r="KX250" s="13"/>
      <c r="KY250" s="14"/>
      <c r="LA250" s="65"/>
      <c r="LB250" s="13"/>
      <c r="LC250" s="14"/>
      <c r="LE250" s="65"/>
      <c r="LF250" s="13"/>
      <c r="LG250" s="14"/>
      <c r="LI250" s="65"/>
      <c r="LJ250" s="13"/>
      <c r="LK250" s="14"/>
      <c r="LM250" s="65"/>
      <c r="LN250" s="13"/>
      <c r="LO250" s="14"/>
      <c r="LQ250" s="65"/>
      <c r="LR250" s="13"/>
      <c r="LS250" s="14"/>
      <c r="LU250" s="65"/>
      <c r="LV250" s="13"/>
      <c r="LW250" s="14"/>
      <c r="LY250" s="65"/>
      <c r="LZ250" s="13"/>
      <c r="MA250" s="14"/>
      <c r="MC250" s="65"/>
      <c r="MD250" s="13"/>
      <c r="ME250" s="14"/>
      <c r="MG250" s="65"/>
      <c r="MH250" s="13"/>
      <c r="MI250" s="14"/>
      <c r="MK250" s="65"/>
      <c r="ML250" s="13"/>
      <c r="MM250" s="14"/>
      <c r="MO250" s="65"/>
      <c r="MP250" s="13"/>
      <c r="MQ250" s="14"/>
      <c r="MS250" s="65"/>
      <c r="MT250" s="13"/>
      <c r="MU250" s="14"/>
    </row>
    <row r="251" spans="1:359" hidden="1" x14ac:dyDescent="0.25">
      <c r="A251" s="15">
        <f t="shared" si="193"/>
        <v>0</v>
      </c>
      <c r="B251" s="20">
        <v>42945</v>
      </c>
      <c r="C251"/>
      <c r="D251" s="12"/>
      <c r="E251" s="12"/>
      <c r="I251" s="12"/>
      <c r="J251" s="12"/>
      <c r="N251" s="12"/>
      <c r="O251" s="12"/>
      <c r="T251" s="15"/>
      <c r="U251" s="20"/>
      <c r="V251" s="36"/>
      <c r="W251" s="12"/>
      <c r="X251" s="12"/>
      <c r="AB251" s="12"/>
      <c r="AC251" s="12"/>
      <c r="AG251" s="12"/>
      <c r="AH251" s="12"/>
      <c r="AK251" s="12"/>
      <c r="AL251" s="13"/>
      <c r="AM251" s="14"/>
      <c r="CK251" s="65"/>
      <c r="CL251" s="13"/>
      <c r="CO251" s="65"/>
      <c r="CP251" s="13"/>
      <c r="CS251" s="65"/>
      <c r="CT251" s="13"/>
      <c r="CW251" s="65"/>
      <c r="CX251" s="13"/>
      <c r="DA251" s="65"/>
      <c r="DB251" s="13"/>
      <c r="DE251" s="65"/>
      <c r="DF251" s="13"/>
      <c r="DI251" s="65"/>
      <c r="DJ251" s="13"/>
      <c r="DM251" s="65"/>
      <c r="DN251" s="13"/>
      <c r="DQ251" s="65"/>
      <c r="DR251" s="13"/>
      <c r="DU251" s="65"/>
      <c r="DV251" s="13"/>
      <c r="DY251" s="65"/>
      <c r="DZ251" s="13"/>
      <c r="EA251" s="14"/>
      <c r="EC251" s="65"/>
      <c r="ED251" s="13"/>
      <c r="EE251" s="14"/>
      <c r="EG251" s="65"/>
      <c r="EH251" s="13"/>
      <c r="EI251" s="14"/>
      <c r="EK251" s="65"/>
      <c r="EL251" s="13"/>
      <c r="EM251" s="14"/>
      <c r="EO251" s="65"/>
      <c r="EP251" s="13"/>
      <c r="EQ251" s="14"/>
      <c r="ES251" s="65"/>
      <c r="ET251" s="13"/>
      <c r="EU251" s="14"/>
      <c r="EW251" s="65"/>
      <c r="EX251" s="13"/>
      <c r="EY251" s="14"/>
      <c r="FA251" s="65"/>
      <c r="FB251" s="13"/>
      <c r="FC251" s="14"/>
      <c r="FE251" s="65"/>
      <c r="FF251" s="13"/>
      <c r="FG251" s="14"/>
      <c r="FI251" s="65"/>
      <c r="FJ251" s="13"/>
      <c r="FK251" s="14"/>
      <c r="FM251" s="65"/>
      <c r="FN251" s="13"/>
      <c r="FO251" s="14"/>
      <c r="FQ251" s="65"/>
      <c r="FR251" s="13"/>
      <c r="FS251" s="14"/>
      <c r="FU251" s="65"/>
      <c r="FV251" s="13"/>
      <c r="FW251" s="14"/>
      <c r="FY251" s="65"/>
      <c r="FZ251" s="13"/>
      <c r="GA251" s="14"/>
      <c r="GC251" s="65"/>
      <c r="GD251" s="13"/>
      <c r="GE251" s="14"/>
      <c r="GG251" s="65"/>
      <c r="GH251" s="13"/>
      <c r="GI251" s="14"/>
      <c r="GK251" s="65"/>
      <c r="GL251" s="13"/>
      <c r="GM251" s="14"/>
      <c r="GO251" s="65"/>
      <c r="GP251" s="13"/>
      <c r="GQ251" s="14"/>
      <c r="GS251" s="65"/>
      <c r="GT251" s="13"/>
      <c r="GU251" s="14"/>
      <c r="GW251" s="65"/>
      <c r="GX251" s="13"/>
      <c r="GY251" s="14"/>
      <c r="HA251" s="65"/>
      <c r="HB251" s="13"/>
      <c r="HC251" s="14"/>
      <c r="HE251" s="65"/>
      <c r="HF251" s="13"/>
      <c r="HG251" s="14"/>
      <c r="HI251" s="65"/>
      <c r="HJ251" s="13"/>
      <c r="HK251" s="14"/>
      <c r="HM251" s="65"/>
      <c r="HN251" s="13"/>
      <c r="HO251" s="14"/>
      <c r="HQ251" s="65"/>
      <c r="HR251" s="13"/>
      <c r="HS251" s="14"/>
      <c r="HU251" s="65"/>
      <c r="HV251" s="13"/>
      <c r="HW251" s="14"/>
      <c r="HY251" s="65"/>
      <c r="HZ251" s="13"/>
      <c r="IA251" s="14"/>
      <c r="IC251" s="65"/>
      <c r="ID251" s="13"/>
      <c r="IE251" s="14"/>
      <c r="IG251" s="65"/>
      <c r="IH251" s="13"/>
      <c r="II251" s="14"/>
      <c r="IK251" s="65"/>
      <c r="IL251" s="13"/>
      <c r="IM251" s="14"/>
      <c r="IO251" s="65"/>
      <c r="IP251" s="13"/>
      <c r="IQ251" s="14"/>
      <c r="IS251" s="65"/>
      <c r="IT251" s="13"/>
      <c r="IU251" s="14"/>
      <c r="IW251" s="65"/>
      <c r="IX251" s="13"/>
      <c r="IY251" s="14"/>
      <c r="JA251" s="65"/>
      <c r="JB251" s="13"/>
      <c r="JC251" s="14"/>
      <c r="JE251" s="65"/>
      <c r="JF251" s="13"/>
      <c r="JG251" s="14"/>
      <c r="JI251" s="65"/>
      <c r="JJ251" s="13"/>
      <c r="JK251" s="14"/>
      <c r="JM251" s="65"/>
      <c r="JN251" s="13"/>
      <c r="JO251" s="14"/>
      <c r="JQ251" s="65"/>
      <c r="JR251" s="13"/>
      <c r="JS251" s="14"/>
      <c r="JU251" s="65"/>
      <c r="JV251" s="13"/>
      <c r="JW251" s="14"/>
      <c r="JY251" s="65"/>
      <c r="JZ251" s="13"/>
      <c r="KA251" s="14"/>
      <c r="KC251" s="65"/>
      <c r="KD251" s="13"/>
      <c r="KE251" s="14"/>
      <c r="KG251" s="65"/>
      <c r="KH251" s="13"/>
      <c r="KI251" s="14"/>
      <c r="KK251" s="65"/>
      <c r="KL251" s="13"/>
      <c r="KM251" s="14"/>
      <c r="KO251" s="65"/>
      <c r="KP251" s="13"/>
      <c r="KQ251" s="14"/>
      <c r="KS251" s="65"/>
      <c r="KT251" s="13"/>
      <c r="KU251" s="14"/>
      <c r="KW251" s="65"/>
      <c r="KX251" s="13"/>
      <c r="KY251" s="14"/>
      <c r="LA251" s="65"/>
      <c r="LB251" s="13"/>
      <c r="LC251" s="14"/>
      <c r="LE251" s="65"/>
      <c r="LF251" s="13"/>
      <c r="LG251" s="14"/>
      <c r="LI251" s="65"/>
      <c r="LJ251" s="13"/>
      <c r="LK251" s="14"/>
      <c r="LM251" s="65"/>
      <c r="LN251" s="13"/>
      <c r="LO251" s="14"/>
      <c r="LQ251" s="65"/>
      <c r="LR251" s="13"/>
      <c r="LS251" s="14"/>
      <c r="LU251" s="65"/>
      <c r="LV251" s="13"/>
      <c r="LW251" s="14"/>
      <c r="LY251" s="65"/>
      <c r="LZ251" s="13"/>
      <c r="MA251" s="14"/>
      <c r="MC251" s="65"/>
      <c r="MD251" s="13"/>
      <c r="ME251" s="14"/>
      <c r="MG251" s="65"/>
      <c r="MH251" s="13"/>
      <c r="MI251" s="14"/>
      <c r="MK251" s="65"/>
      <c r="ML251" s="13"/>
      <c r="MM251" s="14"/>
      <c r="MO251" s="65"/>
      <c r="MP251" s="13"/>
      <c r="MQ251" s="14"/>
      <c r="MS251" s="65"/>
      <c r="MT251" s="13"/>
      <c r="MU251" s="14"/>
    </row>
    <row r="252" spans="1:359" hidden="1" x14ac:dyDescent="0.25">
      <c r="A252" s="15">
        <f t="shared" si="193"/>
        <v>0</v>
      </c>
      <c r="B252" s="20">
        <v>42946</v>
      </c>
      <c r="C252"/>
      <c r="D252" s="12"/>
      <c r="E252" s="12"/>
      <c r="I252" s="12"/>
      <c r="J252" s="12"/>
      <c r="N252" s="12"/>
      <c r="O252" s="12"/>
      <c r="T252" s="15"/>
      <c r="U252" s="20"/>
      <c r="V252" s="36"/>
      <c r="W252" s="12"/>
      <c r="X252" s="12"/>
      <c r="AB252" s="12"/>
      <c r="AC252" s="12"/>
      <c r="AG252" s="12"/>
      <c r="AH252" s="12"/>
      <c r="AK252" s="12"/>
      <c r="AL252" s="13"/>
      <c r="AM252" s="14"/>
      <c r="CK252" s="65"/>
      <c r="CL252" s="13"/>
      <c r="CO252" s="65"/>
      <c r="CP252" s="13"/>
      <c r="CS252" s="65"/>
      <c r="CT252" s="13"/>
      <c r="CW252" s="65"/>
      <c r="CX252" s="13"/>
      <c r="DA252" s="65"/>
      <c r="DB252" s="13"/>
      <c r="DE252" s="65"/>
      <c r="DF252" s="13"/>
      <c r="DI252" s="65"/>
      <c r="DJ252" s="13"/>
      <c r="DM252" s="65"/>
      <c r="DN252" s="13"/>
      <c r="DQ252" s="65"/>
      <c r="DR252" s="13"/>
      <c r="DU252" s="65"/>
      <c r="DV252" s="13"/>
      <c r="DY252" s="65"/>
      <c r="DZ252" s="13"/>
      <c r="EA252" s="14"/>
      <c r="EC252" s="65"/>
      <c r="ED252" s="13"/>
      <c r="EE252" s="14"/>
      <c r="EG252" s="65"/>
      <c r="EH252" s="13"/>
      <c r="EI252" s="14"/>
      <c r="EK252" s="65"/>
      <c r="EL252" s="13"/>
      <c r="EM252" s="14"/>
      <c r="EO252" s="65"/>
      <c r="EP252" s="13"/>
      <c r="EQ252" s="14"/>
      <c r="ES252" s="65"/>
      <c r="ET252" s="13"/>
      <c r="EU252" s="14"/>
      <c r="EW252" s="65"/>
      <c r="EX252" s="13"/>
      <c r="EY252" s="14"/>
      <c r="FA252" s="65"/>
      <c r="FB252" s="13"/>
      <c r="FC252" s="14"/>
      <c r="FE252" s="65"/>
      <c r="FF252" s="13"/>
      <c r="FG252" s="14"/>
      <c r="FI252" s="65"/>
      <c r="FJ252" s="13"/>
      <c r="FK252" s="14"/>
      <c r="FM252" s="65"/>
      <c r="FN252" s="13"/>
      <c r="FO252" s="14"/>
      <c r="FQ252" s="65"/>
      <c r="FR252" s="13"/>
      <c r="FS252" s="14"/>
      <c r="FU252" s="65"/>
      <c r="FV252" s="13"/>
      <c r="FW252" s="14"/>
      <c r="FY252" s="65"/>
      <c r="FZ252" s="13"/>
      <c r="GA252" s="14"/>
      <c r="GC252" s="65"/>
      <c r="GD252" s="13"/>
      <c r="GE252" s="14"/>
      <c r="GG252" s="65"/>
      <c r="GH252" s="13"/>
      <c r="GI252" s="14"/>
      <c r="GK252" s="65"/>
      <c r="GL252" s="13"/>
      <c r="GM252" s="14"/>
      <c r="GO252" s="65"/>
      <c r="GP252" s="13"/>
      <c r="GQ252" s="14"/>
      <c r="GS252" s="65"/>
      <c r="GT252" s="13"/>
      <c r="GU252" s="14"/>
      <c r="GW252" s="65"/>
      <c r="GX252" s="13"/>
      <c r="GY252" s="14"/>
      <c r="HA252" s="65"/>
      <c r="HB252" s="13"/>
      <c r="HC252" s="14"/>
      <c r="HE252" s="65"/>
      <c r="HF252" s="13"/>
      <c r="HG252" s="14"/>
      <c r="HI252" s="65"/>
      <c r="HJ252" s="13"/>
      <c r="HK252" s="14"/>
      <c r="HM252" s="65"/>
      <c r="HN252" s="13"/>
      <c r="HO252" s="14"/>
      <c r="HQ252" s="65"/>
      <c r="HR252" s="13"/>
      <c r="HS252" s="14"/>
      <c r="HU252" s="65"/>
      <c r="HV252" s="13"/>
      <c r="HW252" s="14"/>
      <c r="HY252" s="65"/>
      <c r="HZ252" s="13"/>
      <c r="IA252" s="14"/>
      <c r="IC252" s="65"/>
      <c r="ID252" s="13"/>
      <c r="IE252" s="14"/>
      <c r="IG252" s="65"/>
      <c r="IH252" s="13"/>
      <c r="II252" s="14"/>
      <c r="IK252" s="65"/>
      <c r="IL252" s="13"/>
      <c r="IM252" s="14"/>
      <c r="IO252" s="65"/>
      <c r="IP252" s="13"/>
      <c r="IQ252" s="14"/>
      <c r="IS252" s="65"/>
      <c r="IT252" s="13"/>
      <c r="IU252" s="14"/>
      <c r="IW252" s="65"/>
      <c r="IX252" s="13"/>
      <c r="IY252" s="14"/>
      <c r="JA252" s="65"/>
      <c r="JB252" s="13"/>
      <c r="JC252" s="14"/>
      <c r="JE252" s="65"/>
      <c r="JF252" s="13"/>
      <c r="JG252" s="14"/>
      <c r="JI252" s="65"/>
      <c r="JJ252" s="13"/>
      <c r="JK252" s="14"/>
      <c r="JM252" s="65"/>
      <c r="JN252" s="13"/>
      <c r="JO252" s="14"/>
      <c r="JQ252" s="65"/>
      <c r="JR252" s="13"/>
      <c r="JS252" s="14"/>
      <c r="JU252" s="65"/>
      <c r="JV252" s="13"/>
      <c r="JW252" s="14"/>
      <c r="JY252" s="65"/>
      <c r="JZ252" s="13"/>
      <c r="KA252" s="14"/>
      <c r="KC252" s="65"/>
      <c r="KD252" s="13"/>
      <c r="KE252" s="14"/>
      <c r="KG252" s="65"/>
      <c r="KH252" s="13"/>
      <c r="KI252" s="14"/>
      <c r="KK252" s="65"/>
      <c r="KL252" s="13"/>
      <c r="KM252" s="14"/>
      <c r="KO252" s="65"/>
      <c r="KP252" s="13"/>
      <c r="KQ252" s="14"/>
      <c r="KS252" s="65"/>
      <c r="KT252" s="13"/>
      <c r="KU252" s="14"/>
      <c r="KW252" s="65"/>
      <c r="KX252" s="13"/>
      <c r="KY252" s="14"/>
      <c r="LA252" s="65"/>
      <c r="LB252" s="13"/>
      <c r="LC252" s="14"/>
      <c r="LE252" s="65"/>
      <c r="LF252" s="13"/>
      <c r="LG252" s="14"/>
      <c r="LI252" s="65"/>
      <c r="LJ252" s="13"/>
      <c r="LK252" s="14"/>
      <c r="LM252" s="65"/>
      <c r="LN252" s="13"/>
      <c r="LO252" s="14"/>
      <c r="LQ252" s="65"/>
      <c r="LR252" s="13"/>
      <c r="LS252" s="14"/>
      <c r="LU252" s="65"/>
      <c r="LV252" s="13"/>
      <c r="LW252" s="14"/>
      <c r="LY252" s="65"/>
      <c r="LZ252" s="13"/>
      <c r="MA252" s="14"/>
      <c r="MC252" s="65"/>
      <c r="MD252" s="13"/>
      <c r="ME252" s="14"/>
      <c r="MG252" s="65"/>
      <c r="MH252" s="13"/>
      <c r="MI252" s="14"/>
      <c r="MK252" s="65"/>
      <c r="ML252" s="13"/>
      <c r="MM252" s="14"/>
      <c r="MO252" s="65"/>
      <c r="MP252" s="13"/>
      <c r="MQ252" s="14"/>
      <c r="MS252" s="65"/>
      <c r="MT252" s="13"/>
      <c r="MU252" s="14"/>
    </row>
    <row r="253" spans="1:359" hidden="1" x14ac:dyDescent="0.25">
      <c r="A253" s="15">
        <f t="shared" si="193"/>
        <v>0</v>
      </c>
      <c r="B253" s="20">
        <v>42947</v>
      </c>
      <c r="C253"/>
      <c r="D253" s="12"/>
      <c r="E253" s="12"/>
      <c r="I253" s="12"/>
      <c r="J253" s="12"/>
      <c r="N253" s="12"/>
      <c r="O253" s="12"/>
      <c r="T253" s="15"/>
      <c r="U253" s="20"/>
      <c r="V253" s="36"/>
      <c r="W253" s="12"/>
      <c r="X253" s="12"/>
      <c r="AB253" s="12"/>
      <c r="AC253" s="12"/>
      <c r="AG253" s="12"/>
      <c r="AH253" s="12"/>
      <c r="AK253" s="12"/>
      <c r="AL253" s="13"/>
      <c r="AM253" s="14"/>
      <c r="CK253" s="65"/>
      <c r="CL253" s="13"/>
      <c r="CO253" s="65"/>
      <c r="CP253" s="13"/>
      <c r="CS253" s="65"/>
      <c r="CT253" s="13"/>
      <c r="CW253" s="65"/>
      <c r="CX253" s="13"/>
      <c r="DA253" s="65"/>
      <c r="DB253" s="13"/>
      <c r="DE253" s="65"/>
      <c r="DF253" s="13"/>
      <c r="DI253" s="65"/>
      <c r="DJ253" s="13"/>
      <c r="DM253" s="65"/>
      <c r="DN253" s="13"/>
      <c r="DQ253" s="65"/>
      <c r="DR253" s="13"/>
      <c r="DU253" s="65"/>
      <c r="DV253" s="13"/>
      <c r="DY253" s="65"/>
      <c r="DZ253" s="13"/>
      <c r="EA253" s="14"/>
      <c r="EC253" s="65"/>
      <c r="ED253" s="13"/>
      <c r="EE253" s="14"/>
      <c r="EG253" s="65"/>
      <c r="EH253" s="13"/>
      <c r="EI253" s="14"/>
      <c r="EK253" s="65"/>
      <c r="EL253" s="13"/>
      <c r="EM253" s="14"/>
      <c r="EO253" s="65"/>
      <c r="EP253" s="13"/>
      <c r="EQ253" s="14"/>
      <c r="ES253" s="65"/>
      <c r="ET253" s="13"/>
      <c r="EU253" s="14"/>
      <c r="EW253" s="65"/>
      <c r="EX253" s="13"/>
      <c r="EY253" s="14"/>
      <c r="FA253" s="65"/>
      <c r="FB253" s="13"/>
      <c r="FC253" s="14"/>
      <c r="FE253" s="65"/>
      <c r="FF253" s="13"/>
      <c r="FG253" s="14"/>
      <c r="FI253" s="65"/>
      <c r="FJ253" s="13"/>
      <c r="FK253" s="14"/>
      <c r="FM253" s="65"/>
      <c r="FN253" s="13"/>
      <c r="FO253" s="14"/>
      <c r="FQ253" s="65"/>
      <c r="FR253" s="13"/>
      <c r="FS253" s="14"/>
      <c r="FU253" s="65"/>
      <c r="FV253" s="13"/>
      <c r="FW253" s="14"/>
      <c r="FY253" s="65"/>
      <c r="FZ253" s="13"/>
      <c r="GA253" s="14"/>
      <c r="GC253" s="65"/>
      <c r="GD253" s="13"/>
      <c r="GE253" s="14"/>
      <c r="GG253" s="65"/>
      <c r="GH253" s="13"/>
      <c r="GI253" s="14"/>
      <c r="GK253" s="65"/>
      <c r="GL253" s="13"/>
      <c r="GM253" s="14"/>
      <c r="GO253" s="65"/>
      <c r="GP253" s="13"/>
      <c r="GQ253" s="14"/>
      <c r="GS253" s="65"/>
      <c r="GT253" s="13"/>
      <c r="GU253" s="14"/>
      <c r="GW253" s="65"/>
      <c r="GX253" s="13"/>
      <c r="GY253" s="14"/>
      <c r="HA253" s="65"/>
      <c r="HB253" s="13"/>
      <c r="HC253" s="14"/>
      <c r="HE253" s="65"/>
      <c r="HF253" s="13"/>
      <c r="HG253" s="14"/>
      <c r="HI253" s="65"/>
      <c r="HJ253" s="13"/>
      <c r="HK253" s="14"/>
      <c r="HM253" s="65"/>
      <c r="HN253" s="13"/>
      <c r="HO253" s="14"/>
      <c r="HQ253" s="65"/>
      <c r="HR253" s="13"/>
      <c r="HS253" s="14"/>
      <c r="HU253" s="65"/>
      <c r="HV253" s="13"/>
      <c r="HW253" s="14"/>
      <c r="HY253" s="65"/>
      <c r="HZ253" s="13"/>
      <c r="IA253" s="14"/>
      <c r="IC253" s="65"/>
      <c r="ID253" s="13"/>
      <c r="IE253" s="14"/>
      <c r="IG253" s="65"/>
      <c r="IH253" s="13"/>
      <c r="II253" s="14"/>
      <c r="IK253" s="65"/>
      <c r="IL253" s="13"/>
      <c r="IM253" s="14"/>
      <c r="IO253" s="65"/>
      <c r="IP253" s="13"/>
      <c r="IQ253" s="14"/>
      <c r="IS253" s="65"/>
      <c r="IT253" s="13"/>
      <c r="IU253" s="14"/>
      <c r="IW253" s="65"/>
      <c r="IX253" s="13"/>
      <c r="IY253" s="14"/>
      <c r="JA253" s="65"/>
      <c r="JB253" s="13"/>
      <c r="JC253" s="14"/>
      <c r="JE253" s="65"/>
      <c r="JF253" s="13"/>
      <c r="JG253" s="14"/>
      <c r="JI253" s="65"/>
      <c r="JJ253" s="13"/>
      <c r="JK253" s="14"/>
      <c r="JM253" s="65"/>
      <c r="JN253" s="13"/>
      <c r="JO253" s="14"/>
      <c r="JQ253" s="65"/>
      <c r="JR253" s="13"/>
      <c r="JS253" s="14"/>
      <c r="JU253" s="65"/>
      <c r="JV253" s="13"/>
      <c r="JW253" s="14"/>
      <c r="JY253" s="65"/>
      <c r="JZ253" s="13"/>
      <c r="KA253" s="14"/>
      <c r="KC253" s="65"/>
      <c r="KD253" s="13"/>
      <c r="KE253" s="14"/>
      <c r="KG253" s="65"/>
      <c r="KH253" s="13"/>
      <c r="KI253" s="14"/>
      <c r="KK253" s="65"/>
      <c r="KL253" s="13"/>
      <c r="KM253" s="14"/>
      <c r="KO253" s="65"/>
      <c r="KP253" s="13"/>
      <c r="KQ253" s="14"/>
      <c r="KS253" s="65"/>
      <c r="KT253" s="13"/>
      <c r="KU253" s="14"/>
      <c r="KW253" s="65"/>
      <c r="KX253" s="13"/>
      <c r="KY253" s="14"/>
      <c r="LA253" s="65"/>
      <c r="LB253" s="13"/>
      <c r="LC253" s="14"/>
      <c r="LE253" s="65"/>
      <c r="LF253" s="13"/>
      <c r="LG253" s="14"/>
      <c r="LI253" s="65"/>
      <c r="LJ253" s="13"/>
      <c r="LK253" s="14"/>
      <c r="LM253" s="65"/>
      <c r="LN253" s="13"/>
      <c r="LO253" s="14"/>
      <c r="LQ253" s="65"/>
      <c r="LR253" s="13"/>
      <c r="LS253" s="14"/>
      <c r="LU253" s="65"/>
      <c r="LV253" s="13"/>
      <c r="LW253" s="14"/>
      <c r="LY253" s="65"/>
      <c r="LZ253" s="13"/>
      <c r="MA253" s="14"/>
      <c r="MC253" s="65"/>
      <c r="MD253" s="13"/>
      <c r="ME253" s="14"/>
      <c r="MG253" s="65"/>
      <c r="MH253" s="13"/>
      <c r="MI253" s="14"/>
      <c r="MK253" s="65"/>
      <c r="ML253" s="13"/>
      <c r="MM253" s="14"/>
      <c r="MO253" s="65"/>
      <c r="MP253" s="13"/>
      <c r="MQ253" s="14"/>
      <c r="MS253" s="65"/>
      <c r="MT253" s="13"/>
      <c r="MU253" s="14"/>
    </row>
    <row r="254" spans="1:359" hidden="1" x14ac:dyDescent="0.25">
      <c r="A254" s="15">
        <f t="shared" si="193"/>
        <v>0</v>
      </c>
      <c r="B254" s="20">
        <v>42948</v>
      </c>
      <c r="C254"/>
      <c r="D254" s="12"/>
      <c r="E254" s="12"/>
      <c r="I254" s="12"/>
      <c r="J254" s="12"/>
      <c r="N254" s="12"/>
      <c r="O254" s="12"/>
      <c r="T254" s="15"/>
      <c r="U254" s="20"/>
      <c r="V254" s="36"/>
      <c r="W254" s="12"/>
      <c r="X254" s="12"/>
      <c r="AB254" s="12"/>
      <c r="AC254" s="12"/>
      <c r="AG254" s="12"/>
      <c r="AH254" s="12"/>
      <c r="AK254" s="12"/>
      <c r="AL254" s="13"/>
      <c r="AM254" s="14"/>
      <c r="CK254" s="65"/>
      <c r="CL254" s="13"/>
      <c r="CO254" s="65"/>
      <c r="CP254" s="13"/>
      <c r="CS254" s="65"/>
      <c r="CT254" s="13"/>
      <c r="CW254" s="65"/>
      <c r="CX254" s="13"/>
      <c r="DA254" s="65"/>
      <c r="DB254" s="13"/>
      <c r="DE254" s="65"/>
      <c r="DF254" s="13"/>
      <c r="DI254" s="65"/>
      <c r="DJ254" s="13"/>
      <c r="DM254" s="65"/>
      <c r="DN254" s="13"/>
      <c r="DQ254" s="65"/>
      <c r="DR254" s="13"/>
      <c r="DU254" s="65"/>
      <c r="DV254" s="13"/>
      <c r="DY254" s="65"/>
      <c r="DZ254" s="13"/>
      <c r="EA254" s="14"/>
      <c r="EC254" s="65"/>
      <c r="ED254" s="13"/>
      <c r="EE254" s="14"/>
      <c r="EG254" s="65"/>
      <c r="EH254" s="13"/>
      <c r="EI254" s="14"/>
      <c r="EK254" s="65"/>
      <c r="EL254" s="13"/>
      <c r="EM254" s="14"/>
      <c r="EO254" s="65"/>
      <c r="EP254" s="13"/>
      <c r="EQ254" s="14"/>
      <c r="ES254" s="65"/>
      <c r="ET254" s="13"/>
      <c r="EU254" s="14"/>
      <c r="EW254" s="65"/>
      <c r="EX254" s="13"/>
      <c r="EY254" s="14"/>
      <c r="FA254" s="65"/>
      <c r="FB254" s="13"/>
      <c r="FC254" s="14"/>
      <c r="FE254" s="65"/>
      <c r="FF254" s="13"/>
      <c r="FG254" s="14"/>
      <c r="FI254" s="65"/>
      <c r="FJ254" s="13"/>
      <c r="FK254" s="14"/>
      <c r="FM254" s="65"/>
      <c r="FN254" s="13"/>
      <c r="FO254" s="14"/>
      <c r="FQ254" s="65"/>
      <c r="FR254" s="13"/>
      <c r="FS254" s="14"/>
      <c r="FU254" s="65"/>
      <c r="FV254" s="13"/>
      <c r="FW254" s="14"/>
      <c r="FY254" s="65"/>
      <c r="FZ254" s="13"/>
      <c r="GA254" s="14"/>
      <c r="GC254" s="65"/>
      <c r="GD254" s="13"/>
      <c r="GE254" s="14"/>
      <c r="GG254" s="65"/>
      <c r="GH254" s="13"/>
      <c r="GI254" s="14"/>
      <c r="GK254" s="65"/>
      <c r="GL254" s="13"/>
      <c r="GM254" s="14"/>
      <c r="GO254" s="65"/>
      <c r="GP254" s="13"/>
      <c r="GQ254" s="14"/>
      <c r="GS254" s="65"/>
      <c r="GT254" s="13"/>
      <c r="GU254" s="14"/>
      <c r="GW254" s="65"/>
      <c r="GX254" s="13"/>
      <c r="GY254" s="14"/>
      <c r="HA254" s="65"/>
      <c r="HB254" s="13"/>
      <c r="HC254" s="14"/>
      <c r="HE254" s="65"/>
      <c r="HF254" s="13"/>
      <c r="HG254" s="14"/>
      <c r="HI254" s="65"/>
      <c r="HJ254" s="13"/>
      <c r="HK254" s="14"/>
      <c r="HM254" s="65"/>
      <c r="HN254" s="13"/>
      <c r="HO254" s="14"/>
      <c r="HQ254" s="65"/>
      <c r="HR254" s="13"/>
      <c r="HS254" s="14"/>
      <c r="HU254" s="65"/>
      <c r="HV254" s="13"/>
      <c r="HW254" s="14"/>
      <c r="HY254" s="65"/>
      <c r="HZ254" s="13"/>
      <c r="IA254" s="14"/>
      <c r="IC254" s="65"/>
      <c r="ID254" s="13"/>
      <c r="IE254" s="14"/>
      <c r="IG254" s="65"/>
      <c r="IH254" s="13"/>
      <c r="II254" s="14"/>
      <c r="IK254" s="65"/>
      <c r="IL254" s="13"/>
      <c r="IM254" s="14"/>
      <c r="IO254" s="65"/>
      <c r="IP254" s="13"/>
      <c r="IQ254" s="14"/>
      <c r="IS254" s="65"/>
      <c r="IT254" s="13"/>
      <c r="IU254" s="14"/>
      <c r="IW254" s="65"/>
      <c r="IX254" s="13"/>
      <c r="IY254" s="14"/>
      <c r="JA254" s="65"/>
      <c r="JB254" s="13"/>
      <c r="JC254" s="14"/>
      <c r="JE254" s="65"/>
      <c r="JF254" s="13"/>
      <c r="JG254" s="14"/>
      <c r="JI254" s="65"/>
      <c r="JJ254" s="13"/>
      <c r="JK254" s="14"/>
      <c r="JM254" s="65"/>
      <c r="JN254" s="13"/>
      <c r="JO254" s="14"/>
      <c r="JQ254" s="65"/>
      <c r="JR254" s="13"/>
      <c r="JS254" s="14"/>
      <c r="JU254" s="65"/>
      <c r="JV254" s="13"/>
      <c r="JW254" s="14"/>
      <c r="JY254" s="65"/>
      <c r="JZ254" s="13"/>
      <c r="KA254" s="14"/>
      <c r="KC254" s="65"/>
      <c r="KD254" s="13"/>
      <c r="KE254" s="14"/>
      <c r="KG254" s="65"/>
      <c r="KH254" s="13"/>
      <c r="KI254" s="14"/>
      <c r="KK254" s="65"/>
      <c r="KL254" s="13"/>
      <c r="KM254" s="14"/>
      <c r="KO254" s="65"/>
      <c r="KP254" s="13"/>
      <c r="KQ254" s="14"/>
      <c r="KS254" s="65"/>
      <c r="KT254" s="13"/>
      <c r="KU254" s="14"/>
      <c r="KW254" s="65"/>
      <c r="KX254" s="13"/>
      <c r="KY254" s="14"/>
      <c r="LA254" s="65"/>
      <c r="LB254" s="13"/>
      <c r="LC254" s="14"/>
      <c r="LE254" s="65"/>
      <c r="LF254" s="13"/>
      <c r="LG254" s="14"/>
      <c r="LI254" s="65"/>
      <c r="LJ254" s="13"/>
      <c r="LK254" s="14"/>
      <c r="LM254" s="65"/>
      <c r="LN254" s="13"/>
      <c r="LO254" s="14"/>
      <c r="LQ254" s="65"/>
      <c r="LR254" s="13"/>
      <c r="LS254" s="14"/>
      <c r="LU254" s="65"/>
      <c r="LV254" s="13"/>
      <c r="LW254" s="14"/>
      <c r="LY254" s="65"/>
      <c r="LZ254" s="13"/>
      <c r="MA254" s="14"/>
      <c r="MC254" s="65"/>
      <c r="MD254" s="13"/>
      <c r="ME254" s="14"/>
      <c r="MG254" s="65"/>
      <c r="MH254" s="13"/>
      <c r="MI254" s="14"/>
      <c r="MK254" s="65"/>
      <c r="ML254" s="13"/>
      <c r="MM254" s="14"/>
      <c r="MO254" s="65"/>
      <c r="MP254" s="13"/>
      <c r="MQ254" s="14"/>
      <c r="MS254" s="65"/>
      <c r="MT254" s="13"/>
      <c r="MU254" s="14"/>
    </row>
    <row r="255" spans="1:359" hidden="1" x14ac:dyDescent="0.25">
      <c r="A255" s="15">
        <f t="shared" si="193"/>
        <v>0</v>
      </c>
      <c r="B255" s="20">
        <v>42949</v>
      </c>
      <c r="C255"/>
      <c r="D255" s="12"/>
      <c r="E255" s="12"/>
      <c r="I255" s="12"/>
      <c r="J255" s="12"/>
      <c r="N255" s="12"/>
      <c r="O255" s="12"/>
      <c r="T255" s="15"/>
      <c r="U255" s="20"/>
      <c r="V255" s="36"/>
      <c r="W255" s="12"/>
      <c r="X255" s="12"/>
      <c r="AB255" s="12"/>
      <c r="AC255" s="12"/>
      <c r="AG255" s="12"/>
      <c r="AH255" s="12"/>
      <c r="AK255" s="12"/>
      <c r="AL255" s="13"/>
      <c r="AM255" s="14"/>
      <c r="CK255" s="65"/>
      <c r="CL255" s="13"/>
      <c r="CO255" s="65"/>
      <c r="CP255" s="13"/>
      <c r="CS255" s="65"/>
      <c r="CT255" s="13"/>
      <c r="CW255" s="65"/>
      <c r="CX255" s="13"/>
      <c r="DA255" s="65"/>
      <c r="DB255" s="13"/>
      <c r="DE255" s="65"/>
      <c r="DF255" s="13"/>
      <c r="DI255" s="65"/>
      <c r="DJ255" s="13"/>
      <c r="DM255" s="65"/>
      <c r="DN255" s="13"/>
      <c r="DQ255" s="65"/>
      <c r="DR255" s="13"/>
      <c r="DU255" s="65"/>
      <c r="DV255" s="13"/>
      <c r="DY255" s="65"/>
      <c r="DZ255" s="13"/>
      <c r="EA255" s="14"/>
      <c r="EC255" s="65"/>
      <c r="ED255" s="13"/>
      <c r="EE255" s="14"/>
      <c r="EG255" s="65"/>
      <c r="EH255" s="13"/>
      <c r="EI255" s="14"/>
      <c r="EK255" s="65"/>
      <c r="EL255" s="13"/>
      <c r="EM255" s="14"/>
      <c r="EO255" s="65"/>
      <c r="EP255" s="13"/>
      <c r="EQ255" s="14"/>
      <c r="ES255" s="65"/>
      <c r="ET255" s="13"/>
      <c r="EU255" s="14"/>
      <c r="EW255" s="65"/>
      <c r="EX255" s="13"/>
      <c r="EY255" s="14"/>
      <c r="FA255" s="65"/>
      <c r="FB255" s="13"/>
      <c r="FC255" s="14"/>
      <c r="FE255" s="65"/>
      <c r="FF255" s="13"/>
      <c r="FG255" s="14"/>
      <c r="FI255" s="65"/>
      <c r="FJ255" s="13"/>
      <c r="FK255" s="14"/>
      <c r="FM255" s="65"/>
      <c r="FN255" s="13"/>
      <c r="FO255" s="14"/>
      <c r="FQ255" s="65"/>
      <c r="FR255" s="13"/>
      <c r="FS255" s="14"/>
      <c r="FU255" s="65"/>
      <c r="FV255" s="13"/>
      <c r="FW255" s="14"/>
      <c r="FY255" s="65"/>
      <c r="FZ255" s="13"/>
      <c r="GA255" s="14"/>
      <c r="GC255" s="65"/>
      <c r="GD255" s="13"/>
      <c r="GE255" s="14"/>
      <c r="GG255" s="65"/>
      <c r="GH255" s="13"/>
      <c r="GI255" s="14"/>
      <c r="GK255" s="65"/>
      <c r="GL255" s="13"/>
      <c r="GM255" s="14"/>
      <c r="GO255" s="65"/>
      <c r="GP255" s="13"/>
      <c r="GQ255" s="14"/>
      <c r="GS255" s="65"/>
      <c r="GT255" s="13"/>
      <c r="GU255" s="14"/>
      <c r="GW255" s="65"/>
      <c r="GX255" s="13"/>
      <c r="GY255" s="14"/>
      <c r="HA255" s="65"/>
      <c r="HB255" s="13"/>
      <c r="HC255" s="14"/>
      <c r="HE255" s="65"/>
      <c r="HF255" s="13"/>
      <c r="HG255" s="14"/>
      <c r="HI255" s="65"/>
      <c r="HJ255" s="13"/>
      <c r="HK255" s="14"/>
      <c r="HM255" s="65"/>
      <c r="HN255" s="13"/>
      <c r="HO255" s="14"/>
      <c r="HQ255" s="65"/>
      <c r="HR255" s="13"/>
      <c r="HS255" s="14"/>
      <c r="HU255" s="65"/>
      <c r="HV255" s="13"/>
      <c r="HW255" s="14"/>
      <c r="HY255" s="65"/>
      <c r="HZ255" s="13"/>
      <c r="IA255" s="14"/>
      <c r="IC255" s="65"/>
      <c r="ID255" s="13"/>
      <c r="IE255" s="14"/>
      <c r="IG255" s="65"/>
      <c r="IH255" s="13"/>
      <c r="II255" s="14"/>
      <c r="IK255" s="65"/>
      <c r="IL255" s="13"/>
      <c r="IM255" s="14"/>
      <c r="IO255" s="65"/>
      <c r="IP255" s="13"/>
      <c r="IQ255" s="14"/>
      <c r="IS255" s="65"/>
      <c r="IT255" s="13"/>
      <c r="IU255" s="14"/>
      <c r="IW255" s="65"/>
      <c r="IX255" s="13"/>
      <c r="IY255" s="14"/>
      <c r="JA255" s="65"/>
      <c r="JB255" s="13"/>
      <c r="JC255" s="14"/>
      <c r="JE255" s="65"/>
      <c r="JF255" s="13"/>
      <c r="JG255" s="14"/>
      <c r="JI255" s="65"/>
      <c r="JJ255" s="13"/>
      <c r="JK255" s="14"/>
      <c r="JM255" s="65"/>
      <c r="JN255" s="13"/>
      <c r="JO255" s="14"/>
      <c r="JQ255" s="65"/>
      <c r="JR255" s="13"/>
      <c r="JS255" s="14"/>
      <c r="JU255" s="65"/>
      <c r="JV255" s="13"/>
      <c r="JW255" s="14"/>
      <c r="JY255" s="65"/>
      <c r="JZ255" s="13"/>
      <c r="KA255" s="14"/>
      <c r="KC255" s="65"/>
      <c r="KD255" s="13"/>
      <c r="KE255" s="14"/>
      <c r="KG255" s="65"/>
      <c r="KH255" s="13"/>
      <c r="KI255" s="14"/>
      <c r="KK255" s="65"/>
      <c r="KL255" s="13"/>
      <c r="KM255" s="14"/>
      <c r="KO255" s="65"/>
      <c r="KP255" s="13"/>
      <c r="KQ255" s="14"/>
      <c r="KS255" s="65"/>
      <c r="KT255" s="13"/>
      <c r="KU255" s="14"/>
      <c r="KW255" s="65"/>
      <c r="KX255" s="13"/>
      <c r="KY255" s="14"/>
      <c r="LA255" s="65"/>
      <c r="LB255" s="13"/>
      <c r="LC255" s="14"/>
      <c r="LE255" s="65"/>
      <c r="LF255" s="13"/>
      <c r="LG255" s="14"/>
      <c r="LI255" s="65"/>
      <c r="LJ255" s="13"/>
      <c r="LK255" s="14"/>
      <c r="LM255" s="65"/>
      <c r="LN255" s="13"/>
      <c r="LO255" s="14"/>
      <c r="LQ255" s="65"/>
      <c r="LR255" s="13"/>
      <c r="LS255" s="14"/>
      <c r="LU255" s="65"/>
      <c r="LV255" s="13"/>
      <c r="LW255" s="14"/>
      <c r="LY255" s="65"/>
      <c r="LZ255" s="13"/>
      <c r="MA255" s="14"/>
      <c r="MC255" s="65"/>
      <c r="MD255" s="13"/>
      <c r="ME255" s="14"/>
      <c r="MG255" s="65"/>
      <c r="MH255" s="13"/>
      <c r="MI255" s="14"/>
      <c r="MK255" s="65"/>
      <c r="ML255" s="13"/>
      <c r="MM255" s="14"/>
      <c r="MO255" s="65"/>
      <c r="MP255" s="13"/>
      <c r="MQ255" s="14"/>
      <c r="MS255" s="65"/>
      <c r="MT255" s="13"/>
      <c r="MU255" s="14"/>
    </row>
    <row r="256" spans="1:359" hidden="1" x14ac:dyDescent="0.25">
      <c r="A256" s="15">
        <f t="shared" si="193"/>
        <v>0</v>
      </c>
      <c r="B256" s="20">
        <v>42950</v>
      </c>
      <c r="C256"/>
      <c r="D256" s="12"/>
      <c r="E256" s="12"/>
      <c r="I256" s="12"/>
      <c r="J256" s="12"/>
      <c r="N256" s="12"/>
      <c r="O256" s="12"/>
      <c r="T256" s="15"/>
      <c r="U256" s="20"/>
      <c r="V256" s="36"/>
      <c r="W256" s="12"/>
      <c r="X256" s="12"/>
      <c r="AB256" s="12"/>
      <c r="AC256" s="12"/>
      <c r="AG256" s="12"/>
      <c r="AH256" s="12"/>
      <c r="AK256" s="12"/>
      <c r="AL256" s="13"/>
      <c r="AM256" s="14"/>
      <c r="CK256" s="65"/>
      <c r="CL256" s="13"/>
      <c r="CO256" s="65"/>
      <c r="CP256" s="13"/>
      <c r="CS256" s="65"/>
      <c r="CT256" s="13"/>
      <c r="CW256" s="65"/>
      <c r="CX256" s="13"/>
      <c r="DA256" s="65"/>
      <c r="DB256" s="13"/>
      <c r="DE256" s="65"/>
      <c r="DF256" s="13"/>
      <c r="DI256" s="65"/>
      <c r="DJ256" s="13"/>
      <c r="DM256" s="65"/>
      <c r="DN256" s="13"/>
      <c r="DQ256" s="65"/>
      <c r="DR256" s="13"/>
      <c r="DU256" s="65"/>
      <c r="DV256" s="13"/>
      <c r="DY256" s="65"/>
      <c r="DZ256" s="13"/>
      <c r="EA256" s="14"/>
      <c r="EC256" s="65"/>
      <c r="ED256" s="13"/>
      <c r="EE256" s="14"/>
      <c r="EG256" s="65"/>
      <c r="EH256" s="13"/>
      <c r="EI256" s="14"/>
      <c r="EK256" s="65"/>
      <c r="EL256" s="13"/>
      <c r="EM256" s="14"/>
      <c r="EO256" s="65"/>
      <c r="EP256" s="13"/>
      <c r="EQ256" s="14"/>
      <c r="ES256" s="65"/>
      <c r="ET256" s="13"/>
      <c r="EU256" s="14"/>
      <c r="EW256" s="65"/>
      <c r="EX256" s="13"/>
      <c r="EY256" s="14"/>
      <c r="FA256" s="65"/>
      <c r="FB256" s="13"/>
      <c r="FC256" s="14"/>
      <c r="FE256" s="65"/>
      <c r="FF256" s="13"/>
      <c r="FG256" s="14"/>
      <c r="FI256" s="65"/>
      <c r="FJ256" s="13"/>
      <c r="FK256" s="14"/>
      <c r="FM256" s="65"/>
      <c r="FN256" s="13"/>
      <c r="FO256" s="14"/>
      <c r="FQ256" s="65"/>
      <c r="FR256" s="13"/>
      <c r="FS256" s="14"/>
      <c r="FU256" s="65"/>
      <c r="FV256" s="13"/>
      <c r="FW256" s="14"/>
      <c r="FY256" s="65"/>
      <c r="FZ256" s="13"/>
      <c r="GA256" s="14"/>
      <c r="GC256" s="65"/>
      <c r="GD256" s="13"/>
      <c r="GE256" s="14"/>
      <c r="GG256" s="65"/>
      <c r="GH256" s="13"/>
      <c r="GI256" s="14"/>
      <c r="GK256" s="65"/>
      <c r="GL256" s="13"/>
      <c r="GM256" s="14"/>
      <c r="GO256" s="65"/>
      <c r="GP256" s="13"/>
      <c r="GQ256" s="14"/>
      <c r="GS256" s="65"/>
      <c r="GT256" s="13"/>
      <c r="GU256" s="14"/>
      <c r="GW256" s="65"/>
      <c r="GX256" s="13"/>
      <c r="GY256" s="14"/>
      <c r="HA256" s="65"/>
      <c r="HB256" s="13"/>
      <c r="HC256" s="14"/>
      <c r="HE256" s="65"/>
      <c r="HF256" s="13"/>
      <c r="HG256" s="14"/>
      <c r="HI256" s="65"/>
      <c r="HJ256" s="13"/>
      <c r="HK256" s="14"/>
      <c r="HM256" s="65"/>
      <c r="HN256" s="13"/>
      <c r="HO256" s="14"/>
      <c r="HQ256" s="65"/>
      <c r="HR256" s="13"/>
      <c r="HS256" s="14"/>
      <c r="HU256" s="65"/>
      <c r="HV256" s="13"/>
      <c r="HW256" s="14"/>
      <c r="HY256" s="65"/>
      <c r="HZ256" s="13"/>
      <c r="IA256" s="14"/>
      <c r="IC256" s="65"/>
      <c r="ID256" s="13"/>
      <c r="IE256" s="14"/>
      <c r="IG256" s="65"/>
      <c r="IH256" s="13"/>
      <c r="II256" s="14"/>
      <c r="IK256" s="65"/>
      <c r="IL256" s="13"/>
      <c r="IM256" s="14"/>
      <c r="IO256" s="65"/>
      <c r="IP256" s="13"/>
      <c r="IQ256" s="14"/>
      <c r="IS256" s="65"/>
      <c r="IT256" s="13"/>
      <c r="IU256" s="14"/>
      <c r="IW256" s="65"/>
      <c r="IX256" s="13"/>
      <c r="IY256" s="14"/>
      <c r="JA256" s="65"/>
      <c r="JB256" s="13"/>
      <c r="JC256" s="14"/>
      <c r="JE256" s="65"/>
      <c r="JF256" s="13"/>
      <c r="JG256" s="14"/>
      <c r="JI256" s="65"/>
      <c r="JJ256" s="13"/>
      <c r="JK256" s="14"/>
      <c r="JM256" s="65"/>
      <c r="JN256" s="13"/>
      <c r="JO256" s="14"/>
      <c r="JQ256" s="65"/>
      <c r="JR256" s="13"/>
      <c r="JS256" s="14"/>
      <c r="JU256" s="65"/>
      <c r="JV256" s="13"/>
      <c r="JW256" s="14"/>
      <c r="JY256" s="65"/>
      <c r="JZ256" s="13"/>
      <c r="KA256" s="14"/>
      <c r="KC256" s="65"/>
      <c r="KD256" s="13"/>
      <c r="KE256" s="14"/>
      <c r="KG256" s="65"/>
      <c r="KH256" s="13"/>
      <c r="KI256" s="14"/>
      <c r="KK256" s="65"/>
      <c r="KL256" s="13"/>
      <c r="KM256" s="14"/>
      <c r="KO256" s="65"/>
      <c r="KP256" s="13"/>
      <c r="KQ256" s="14"/>
      <c r="KS256" s="65"/>
      <c r="KT256" s="13"/>
      <c r="KU256" s="14"/>
      <c r="KW256" s="65"/>
      <c r="KX256" s="13"/>
      <c r="KY256" s="14"/>
      <c r="LA256" s="65"/>
      <c r="LB256" s="13"/>
      <c r="LC256" s="14"/>
      <c r="LE256" s="65"/>
      <c r="LF256" s="13"/>
      <c r="LG256" s="14"/>
      <c r="LI256" s="65"/>
      <c r="LJ256" s="13"/>
      <c r="LK256" s="14"/>
      <c r="LM256" s="65"/>
      <c r="LN256" s="13"/>
      <c r="LO256" s="14"/>
      <c r="LQ256" s="65"/>
      <c r="LR256" s="13"/>
      <c r="LS256" s="14"/>
      <c r="LU256" s="65"/>
      <c r="LV256" s="13"/>
      <c r="LW256" s="14"/>
      <c r="LY256" s="65"/>
      <c r="LZ256" s="13"/>
      <c r="MA256" s="14"/>
      <c r="MC256" s="65"/>
      <c r="MD256" s="13"/>
      <c r="ME256" s="14"/>
      <c r="MG256" s="65"/>
      <c r="MH256" s="13"/>
      <c r="MI256" s="14"/>
      <c r="MK256" s="65"/>
      <c r="ML256" s="13"/>
      <c r="MM256" s="14"/>
      <c r="MO256" s="65"/>
      <c r="MP256" s="13"/>
      <c r="MQ256" s="14"/>
      <c r="MS256" s="65"/>
      <c r="MT256" s="13"/>
      <c r="MU256" s="14"/>
    </row>
    <row r="257" spans="1:359" hidden="1" x14ac:dyDescent="0.25">
      <c r="A257" s="15">
        <f>+T8</f>
        <v>1533685.57</v>
      </c>
      <c r="B257" s="20">
        <v>42951</v>
      </c>
      <c r="T257" s="15"/>
      <c r="U257" s="20"/>
      <c r="AK257" s="12"/>
      <c r="AL257" s="13"/>
      <c r="AM257" s="14"/>
      <c r="CK257" s="65"/>
      <c r="CL257" s="13"/>
      <c r="CO257" s="65"/>
      <c r="CP257" s="13"/>
      <c r="CS257" s="65"/>
      <c r="CT257" s="13"/>
      <c r="CW257" s="65"/>
      <c r="CX257" s="13"/>
      <c r="DA257" s="65"/>
      <c r="DB257" s="13"/>
      <c r="DE257" s="65"/>
      <c r="DF257" s="13"/>
      <c r="DI257" s="65"/>
      <c r="DJ257" s="13"/>
      <c r="DM257" s="65"/>
      <c r="DN257" s="13"/>
      <c r="DQ257" s="65"/>
      <c r="DR257" s="13"/>
      <c r="DU257" s="65"/>
      <c r="DV257" s="13"/>
      <c r="DY257" s="65"/>
      <c r="DZ257" s="13"/>
      <c r="EA257" s="14"/>
      <c r="EC257" s="65"/>
      <c r="ED257" s="13"/>
      <c r="EE257" s="14"/>
      <c r="EG257" s="65"/>
      <c r="EH257" s="13"/>
      <c r="EI257" s="14"/>
      <c r="EK257" s="65"/>
      <c r="EL257" s="13"/>
      <c r="EM257" s="14"/>
      <c r="EO257" s="65"/>
      <c r="EP257" s="13"/>
      <c r="EQ257" s="14"/>
      <c r="ES257" s="65"/>
      <c r="ET257" s="13"/>
      <c r="EU257" s="14"/>
      <c r="EW257" s="65"/>
      <c r="EX257" s="13"/>
      <c r="EY257" s="14"/>
      <c r="FA257" s="65"/>
      <c r="FB257" s="13"/>
      <c r="FC257" s="14"/>
      <c r="FE257" s="65"/>
      <c r="FF257" s="13"/>
      <c r="FG257" s="14"/>
      <c r="FI257" s="65"/>
      <c r="FJ257" s="13"/>
      <c r="FK257" s="14"/>
      <c r="FM257" s="65"/>
      <c r="FN257" s="13"/>
      <c r="FO257" s="14"/>
      <c r="FQ257" s="65"/>
      <c r="FR257" s="13"/>
      <c r="FS257" s="14"/>
      <c r="FU257" s="65"/>
      <c r="FV257" s="13"/>
      <c r="FW257" s="14"/>
      <c r="FY257" s="65"/>
      <c r="FZ257" s="13"/>
      <c r="GA257" s="14"/>
      <c r="GC257" s="65"/>
      <c r="GD257" s="13"/>
      <c r="GE257" s="14"/>
      <c r="GG257" s="65"/>
      <c r="GH257" s="13"/>
      <c r="GI257" s="14"/>
      <c r="GK257" s="65"/>
      <c r="GL257" s="13"/>
      <c r="GM257" s="14"/>
      <c r="GO257" s="65"/>
      <c r="GP257" s="13"/>
      <c r="GQ257" s="14"/>
      <c r="GS257" s="65"/>
      <c r="GT257" s="13"/>
      <c r="GU257" s="14"/>
      <c r="GW257" s="65"/>
      <c r="GX257" s="13"/>
      <c r="GY257" s="14"/>
      <c r="HA257" s="65"/>
      <c r="HB257" s="13"/>
      <c r="HC257" s="14"/>
      <c r="HE257" s="65"/>
      <c r="HF257" s="13"/>
      <c r="HG257" s="14"/>
      <c r="HI257" s="65"/>
      <c r="HJ257" s="13"/>
      <c r="HK257" s="14"/>
      <c r="HM257" s="65"/>
      <c r="HN257" s="13"/>
      <c r="HO257" s="14"/>
      <c r="HQ257" s="65"/>
      <c r="HR257" s="13"/>
      <c r="HS257" s="14"/>
      <c r="HU257" s="65"/>
      <c r="HV257" s="13"/>
      <c r="HW257" s="14"/>
      <c r="HY257" s="65"/>
      <c r="HZ257" s="13"/>
      <c r="IA257" s="14"/>
      <c r="IC257" s="65"/>
      <c r="ID257" s="13"/>
      <c r="IE257" s="14"/>
      <c r="IG257" s="65"/>
      <c r="IH257" s="13"/>
      <c r="II257" s="14"/>
      <c r="IK257" s="65"/>
      <c r="IL257" s="13"/>
      <c r="IM257" s="14"/>
      <c r="IO257" s="65"/>
      <c r="IP257" s="13"/>
      <c r="IQ257" s="14"/>
      <c r="IS257" s="65"/>
      <c r="IT257" s="13"/>
      <c r="IU257" s="14"/>
      <c r="IW257" s="65"/>
      <c r="IX257" s="13"/>
      <c r="IY257" s="14"/>
      <c r="JA257" s="65"/>
      <c r="JB257" s="13"/>
      <c r="JC257" s="14"/>
      <c r="JE257" s="65"/>
      <c r="JF257" s="13"/>
      <c r="JG257" s="14"/>
      <c r="JI257" s="65"/>
      <c r="JJ257" s="13"/>
      <c r="JK257" s="14"/>
      <c r="JM257" s="65"/>
      <c r="JN257" s="13"/>
      <c r="JO257" s="14"/>
      <c r="JQ257" s="65"/>
      <c r="JR257" s="13"/>
      <c r="JS257" s="14"/>
      <c r="JU257" s="65"/>
      <c r="JV257" s="13"/>
      <c r="JW257" s="14"/>
      <c r="JY257" s="65"/>
      <c r="JZ257" s="13"/>
      <c r="KA257" s="14"/>
      <c r="KC257" s="65"/>
      <c r="KD257" s="13"/>
      <c r="KE257" s="14"/>
      <c r="KG257" s="65"/>
      <c r="KH257" s="13"/>
      <c r="KI257" s="14"/>
      <c r="KK257" s="65"/>
      <c r="KL257" s="13"/>
      <c r="KM257" s="14"/>
      <c r="KO257" s="65"/>
      <c r="KP257" s="13"/>
      <c r="KQ257" s="14"/>
      <c r="KS257" s="65"/>
      <c r="KT257" s="13"/>
      <c r="KU257" s="14"/>
      <c r="KW257" s="65"/>
      <c r="KX257" s="13"/>
      <c r="KY257" s="14"/>
      <c r="LA257" s="65"/>
      <c r="LB257" s="13"/>
      <c r="LC257" s="14"/>
      <c r="LE257" s="65"/>
      <c r="LF257" s="13"/>
      <c r="LG257" s="14"/>
      <c r="LI257" s="65"/>
      <c r="LJ257" s="13"/>
      <c r="LK257" s="14"/>
      <c r="LM257" s="65"/>
      <c r="LN257" s="13"/>
      <c r="LO257" s="14"/>
      <c r="LQ257" s="65"/>
      <c r="LR257" s="13"/>
      <c r="LS257" s="14"/>
      <c r="LU257" s="65"/>
      <c r="LV257" s="13"/>
      <c r="LW257" s="14"/>
      <c r="LY257" s="65"/>
      <c r="LZ257" s="13"/>
      <c r="MA257" s="14"/>
      <c r="MC257" s="65"/>
      <c r="MD257" s="13"/>
      <c r="ME257" s="14"/>
      <c r="MG257" s="65"/>
      <c r="MH257" s="13"/>
      <c r="MI257" s="14"/>
      <c r="MK257" s="65"/>
      <c r="ML257" s="13"/>
      <c r="MM257" s="14"/>
      <c r="MO257" s="65"/>
      <c r="MP257" s="13"/>
      <c r="MQ257" s="14"/>
      <c r="MS257" s="65"/>
      <c r="MT257" s="13"/>
      <c r="MU257" s="14"/>
    </row>
    <row r="258" spans="1:359" hidden="1" x14ac:dyDescent="0.25">
      <c r="A258" s="15">
        <f t="shared" ref="A258:A263" si="194">+T9</f>
        <v>1533764.2719892662</v>
      </c>
      <c r="B258" s="20">
        <v>42952</v>
      </c>
      <c r="T258" s="15"/>
      <c r="U258" s="20"/>
      <c r="AK258" s="12"/>
      <c r="AL258" s="13"/>
      <c r="AM258" s="14"/>
      <c r="CK258" s="65"/>
      <c r="CL258" s="13"/>
      <c r="CO258" s="65"/>
      <c r="CP258" s="13"/>
      <c r="CS258" s="65"/>
      <c r="CT258" s="13"/>
      <c r="CW258" s="65"/>
      <c r="CX258" s="13"/>
      <c r="DA258" s="65"/>
      <c r="DB258" s="13"/>
      <c r="DE258" s="65"/>
      <c r="DF258" s="13"/>
      <c r="DI258" s="65"/>
      <c r="DJ258" s="13"/>
      <c r="DM258" s="65"/>
      <c r="DN258" s="13"/>
      <c r="DQ258" s="65"/>
      <c r="DR258" s="13"/>
      <c r="DU258" s="65"/>
      <c r="DV258" s="13"/>
      <c r="DY258" s="65"/>
      <c r="DZ258" s="13"/>
      <c r="EA258" s="14"/>
      <c r="EC258" s="65"/>
      <c r="ED258" s="13"/>
      <c r="EE258" s="14"/>
      <c r="EG258" s="65"/>
      <c r="EH258" s="13"/>
      <c r="EI258" s="14"/>
      <c r="EK258" s="65"/>
      <c r="EL258" s="13"/>
      <c r="EM258" s="14"/>
      <c r="EO258" s="65"/>
      <c r="EP258" s="13"/>
      <c r="EQ258" s="14"/>
      <c r="ES258" s="65"/>
      <c r="ET258" s="13"/>
      <c r="EU258" s="14"/>
      <c r="EW258" s="65"/>
      <c r="EX258" s="13"/>
      <c r="EY258" s="14"/>
      <c r="FA258" s="65"/>
      <c r="FB258" s="13"/>
      <c r="FC258" s="14"/>
      <c r="FE258" s="65"/>
      <c r="FF258" s="13"/>
      <c r="FG258" s="14"/>
      <c r="FI258" s="65"/>
      <c r="FJ258" s="13"/>
      <c r="FK258" s="14"/>
      <c r="FM258" s="65"/>
      <c r="FN258" s="13"/>
      <c r="FO258" s="14"/>
      <c r="FQ258" s="65"/>
      <c r="FR258" s="13"/>
      <c r="FS258" s="14"/>
      <c r="FU258" s="65"/>
      <c r="FV258" s="13"/>
      <c r="FW258" s="14"/>
      <c r="FY258" s="65"/>
      <c r="FZ258" s="13"/>
      <c r="GA258" s="14"/>
      <c r="GC258" s="65"/>
      <c r="GD258" s="13"/>
      <c r="GE258" s="14"/>
      <c r="GG258" s="65"/>
      <c r="GH258" s="13"/>
      <c r="GI258" s="14"/>
      <c r="GK258" s="65"/>
      <c r="GL258" s="13"/>
      <c r="GM258" s="14"/>
      <c r="GO258" s="65"/>
      <c r="GP258" s="13"/>
      <c r="GQ258" s="14"/>
      <c r="GS258" s="65"/>
      <c r="GT258" s="13"/>
      <c r="GU258" s="14"/>
      <c r="GW258" s="65"/>
      <c r="GX258" s="13"/>
      <c r="GY258" s="14"/>
      <c r="HA258" s="65"/>
      <c r="HB258" s="13"/>
      <c r="HC258" s="14"/>
      <c r="HE258" s="65"/>
      <c r="HF258" s="13"/>
      <c r="HG258" s="14"/>
      <c r="HI258" s="65"/>
      <c r="HJ258" s="13"/>
      <c r="HK258" s="14"/>
      <c r="HM258" s="65"/>
      <c r="HN258" s="13"/>
      <c r="HO258" s="14"/>
      <c r="HQ258" s="65"/>
      <c r="HR258" s="13"/>
      <c r="HS258" s="14"/>
      <c r="HU258" s="65"/>
      <c r="HV258" s="13"/>
      <c r="HW258" s="14"/>
      <c r="HY258" s="65"/>
      <c r="HZ258" s="13"/>
      <c r="IA258" s="14"/>
      <c r="IC258" s="65"/>
      <c r="ID258" s="13"/>
      <c r="IE258" s="14"/>
      <c r="IG258" s="65"/>
      <c r="IH258" s="13"/>
      <c r="II258" s="14"/>
      <c r="IK258" s="65"/>
      <c r="IL258" s="13"/>
      <c r="IM258" s="14"/>
      <c r="IO258" s="65"/>
      <c r="IP258" s="13"/>
      <c r="IQ258" s="14"/>
      <c r="IS258" s="65"/>
      <c r="IT258" s="13"/>
      <c r="IU258" s="14"/>
      <c r="IW258" s="65"/>
      <c r="IX258" s="13"/>
      <c r="IY258" s="14"/>
      <c r="JA258" s="65"/>
      <c r="JB258" s="13"/>
      <c r="JC258" s="14"/>
      <c r="JE258" s="65"/>
      <c r="JF258" s="13"/>
      <c r="JG258" s="14"/>
      <c r="JI258" s="65"/>
      <c r="JJ258" s="13"/>
      <c r="JK258" s="14"/>
      <c r="JM258" s="65"/>
      <c r="JN258" s="13"/>
      <c r="JO258" s="14"/>
      <c r="JQ258" s="65"/>
      <c r="JR258" s="13"/>
      <c r="JS258" s="14"/>
      <c r="JU258" s="65"/>
      <c r="JV258" s="13"/>
      <c r="JW258" s="14"/>
      <c r="JY258" s="65"/>
      <c r="JZ258" s="13"/>
      <c r="KA258" s="14"/>
      <c r="KC258" s="65"/>
      <c r="KD258" s="13"/>
      <c r="KE258" s="14"/>
      <c r="KG258" s="65"/>
      <c r="KH258" s="13"/>
      <c r="KI258" s="14"/>
      <c r="KK258" s="65"/>
      <c r="KL258" s="13"/>
      <c r="KM258" s="14"/>
      <c r="KO258" s="65"/>
      <c r="KP258" s="13"/>
      <c r="KQ258" s="14"/>
      <c r="KS258" s="65"/>
      <c r="KT258" s="13"/>
      <c r="KU258" s="14"/>
      <c r="KW258" s="65"/>
      <c r="KX258" s="13"/>
      <c r="KY258" s="14"/>
      <c r="LA258" s="65"/>
      <c r="LB258" s="13"/>
      <c r="LC258" s="14"/>
      <c r="LE258" s="65"/>
      <c r="LF258" s="13"/>
      <c r="LG258" s="14"/>
      <c r="LI258" s="65"/>
      <c r="LJ258" s="13"/>
      <c r="LK258" s="14"/>
      <c r="LM258" s="65"/>
      <c r="LN258" s="13"/>
      <c r="LO258" s="14"/>
      <c r="LQ258" s="65"/>
      <c r="LR258" s="13"/>
      <c r="LS258" s="14"/>
      <c r="LU258" s="65"/>
      <c r="LV258" s="13"/>
      <c r="LW258" s="14"/>
      <c r="LY258" s="65"/>
      <c r="LZ258" s="13"/>
      <c r="MA258" s="14"/>
      <c r="MC258" s="65"/>
      <c r="MD258" s="13"/>
      <c r="ME258" s="14"/>
      <c r="MG258" s="65"/>
      <c r="MH258" s="13"/>
      <c r="MI258" s="14"/>
      <c r="MK258" s="65"/>
      <c r="ML258" s="13"/>
      <c r="MM258" s="14"/>
      <c r="MO258" s="65"/>
      <c r="MP258" s="13"/>
      <c r="MQ258" s="14"/>
      <c r="MS258" s="65"/>
      <c r="MT258" s="13"/>
      <c r="MU258" s="14"/>
    </row>
    <row r="259" spans="1:359" hidden="1" x14ac:dyDescent="0.25">
      <c r="A259" s="15">
        <f t="shared" si="194"/>
        <v>1533842.9820562257</v>
      </c>
      <c r="B259" s="20">
        <v>42953</v>
      </c>
      <c r="T259" s="15"/>
      <c r="U259" s="20"/>
      <c r="AK259" s="12"/>
      <c r="AL259" s="13"/>
      <c r="AM259" s="14"/>
      <c r="CK259" s="65"/>
      <c r="CL259" s="13"/>
      <c r="CO259" s="65"/>
      <c r="CP259" s="13"/>
      <c r="CS259" s="65"/>
      <c r="CT259" s="13"/>
      <c r="CW259" s="65"/>
      <c r="CX259" s="13"/>
      <c r="DA259" s="65"/>
      <c r="DB259" s="13"/>
      <c r="DE259" s="65"/>
      <c r="DF259" s="13"/>
      <c r="DI259" s="65"/>
      <c r="DJ259" s="13"/>
      <c r="DM259" s="65"/>
      <c r="DN259" s="13"/>
      <c r="DQ259" s="65"/>
      <c r="DR259" s="13"/>
      <c r="DU259" s="65"/>
      <c r="DV259" s="13"/>
      <c r="DY259" s="65"/>
      <c r="DZ259" s="13"/>
      <c r="EA259" s="14"/>
      <c r="EC259" s="65"/>
      <c r="ED259" s="13"/>
      <c r="EE259" s="14"/>
      <c r="EG259" s="65"/>
      <c r="EH259" s="13"/>
      <c r="EI259" s="14"/>
      <c r="EK259" s="65"/>
      <c r="EL259" s="13"/>
      <c r="EM259" s="14"/>
      <c r="EO259" s="65"/>
      <c r="EP259" s="13"/>
      <c r="EQ259" s="14"/>
      <c r="ES259" s="65"/>
      <c r="ET259" s="13"/>
      <c r="EU259" s="14"/>
      <c r="EW259" s="65"/>
      <c r="EX259" s="13"/>
      <c r="EY259" s="14"/>
      <c r="FA259" s="65"/>
      <c r="FB259" s="13"/>
      <c r="FC259" s="14"/>
      <c r="FE259" s="65"/>
      <c r="FF259" s="13"/>
      <c r="FG259" s="14"/>
      <c r="FI259" s="65"/>
      <c r="FJ259" s="13"/>
      <c r="FK259" s="14"/>
      <c r="FM259" s="65"/>
      <c r="FN259" s="13"/>
      <c r="FO259" s="14"/>
      <c r="FQ259" s="65"/>
      <c r="FR259" s="13"/>
      <c r="FS259" s="14"/>
      <c r="FU259" s="65"/>
      <c r="FV259" s="13"/>
      <c r="FW259" s="14"/>
      <c r="FY259" s="65"/>
      <c r="FZ259" s="13"/>
      <c r="GA259" s="14"/>
      <c r="GC259" s="65"/>
      <c r="GD259" s="13"/>
      <c r="GE259" s="14"/>
      <c r="GG259" s="65"/>
      <c r="GH259" s="13"/>
      <c r="GI259" s="14"/>
      <c r="GK259" s="65"/>
      <c r="GL259" s="13"/>
      <c r="GM259" s="14"/>
      <c r="GO259" s="65"/>
      <c r="GP259" s="13"/>
      <c r="GQ259" s="14"/>
      <c r="GS259" s="65"/>
      <c r="GT259" s="13"/>
      <c r="GU259" s="14"/>
      <c r="GW259" s="65"/>
      <c r="GX259" s="13"/>
      <c r="GY259" s="14"/>
      <c r="HA259" s="65"/>
      <c r="HB259" s="13"/>
      <c r="HC259" s="14"/>
      <c r="HE259" s="65"/>
      <c r="HF259" s="13"/>
      <c r="HG259" s="14"/>
      <c r="HI259" s="65"/>
      <c r="HJ259" s="13"/>
      <c r="HK259" s="14"/>
      <c r="HM259" s="65"/>
      <c r="HN259" s="13"/>
      <c r="HO259" s="14"/>
      <c r="HQ259" s="65"/>
      <c r="HR259" s="13"/>
      <c r="HS259" s="14"/>
      <c r="HU259" s="65"/>
      <c r="HV259" s="13"/>
      <c r="HW259" s="14"/>
      <c r="HY259" s="65"/>
      <c r="HZ259" s="13"/>
      <c r="IA259" s="14"/>
      <c r="IC259" s="65"/>
      <c r="ID259" s="13"/>
      <c r="IE259" s="14"/>
      <c r="IG259" s="65"/>
      <c r="IH259" s="13"/>
      <c r="II259" s="14"/>
      <c r="IK259" s="65"/>
      <c r="IL259" s="13"/>
      <c r="IM259" s="14"/>
      <c r="IO259" s="65"/>
      <c r="IP259" s="13"/>
      <c r="IQ259" s="14"/>
      <c r="IS259" s="65"/>
      <c r="IT259" s="13"/>
      <c r="IU259" s="14"/>
      <c r="IW259" s="65"/>
      <c r="IX259" s="13"/>
      <c r="IY259" s="14"/>
      <c r="JA259" s="65"/>
      <c r="JB259" s="13"/>
      <c r="JC259" s="14"/>
      <c r="JE259" s="65"/>
      <c r="JF259" s="13"/>
      <c r="JG259" s="14"/>
      <c r="JI259" s="65"/>
      <c r="JJ259" s="13"/>
      <c r="JK259" s="14"/>
      <c r="JM259" s="65"/>
      <c r="JN259" s="13"/>
      <c r="JO259" s="14"/>
      <c r="JQ259" s="65"/>
      <c r="JR259" s="13"/>
      <c r="JS259" s="14"/>
      <c r="JU259" s="65"/>
      <c r="JV259" s="13"/>
      <c r="JW259" s="14"/>
      <c r="JY259" s="65"/>
      <c r="JZ259" s="13"/>
      <c r="KA259" s="14"/>
      <c r="KC259" s="65"/>
      <c r="KD259" s="13"/>
      <c r="KE259" s="14"/>
      <c r="KG259" s="65"/>
      <c r="KH259" s="13"/>
      <c r="KI259" s="14"/>
      <c r="KK259" s="65"/>
      <c r="KL259" s="13"/>
      <c r="KM259" s="14"/>
      <c r="KO259" s="65"/>
      <c r="KP259" s="13"/>
      <c r="KQ259" s="14"/>
      <c r="KS259" s="65"/>
      <c r="KT259" s="13"/>
      <c r="KU259" s="14"/>
      <c r="KW259" s="65"/>
      <c r="KX259" s="13"/>
      <c r="KY259" s="14"/>
      <c r="LA259" s="65"/>
      <c r="LB259" s="13"/>
      <c r="LC259" s="14"/>
      <c r="LE259" s="65"/>
      <c r="LF259" s="13"/>
      <c r="LG259" s="14"/>
      <c r="LI259" s="65"/>
      <c r="LJ259" s="13"/>
      <c r="LK259" s="14"/>
      <c r="LM259" s="65"/>
      <c r="LN259" s="13"/>
      <c r="LO259" s="14"/>
      <c r="LQ259" s="65"/>
      <c r="LR259" s="13"/>
      <c r="LS259" s="14"/>
      <c r="LU259" s="65"/>
      <c r="LV259" s="13"/>
      <c r="LW259" s="14"/>
      <c r="LY259" s="65"/>
      <c r="LZ259" s="13"/>
      <c r="MA259" s="14"/>
      <c r="MC259" s="65"/>
      <c r="MD259" s="13"/>
      <c r="ME259" s="14"/>
      <c r="MG259" s="65"/>
      <c r="MH259" s="13"/>
      <c r="MI259" s="14"/>
      <c r="MK259" s="65"/>
      <c r="ML259" s="13"/>
      <c r="MM259" s="14"/>
      <c r="MO259" s="65"/>
      <c r="MP259" s="13"/>
      <c r="MQ259" s="14"/>
      <c r="MS259" s="65"/>
      <c r="MT259" s="13"/>
      <c r="MU259" s="14"/>
    </row>
    <row r="260" spans="1:359" hidden="1" x14ac:dyDescent="0.25">
      <c r="A260" s="15">
        <f t="shared" si="194"/>
        <v>1533921.7002021223</v>
      </c>
      <c r="B260" s="20">
        <v>42954</v>
      </c>
      <c r="T260" s="15"/>
      <c r="U260" s="20"/>
      <c r="AK260" s="12"/>
      <c r="AL260" s="13"/>
      <c r="AM260" s="14"/>
      <c r="CK260" s="65"/>
      <c r="CL260" s="13"/>
      <c r="CO260" s="65"/>
      <c r="CP260" s="13"/>
      <c r="CS260" s="65"/>
      <c r="CT260" s="13"/>
      <c r="CW260" s="65"/>
      <c r="CX260" s="13"/>
      <c r="DA260" s="65"/>
      <c r="DB260" s="13"/>
      <c r="DE260" s="65"/>
      <c r="DF260" s="13"/>
      <c r="DI260" s="65"/>
      <c r="DJ260" s="13"/>
      <c r="DM260" s="65"/>
      <c r="DN260" s="13"/>
      <c r="DQ260" s="65"/>
      <c r="DR260" s="13"/>
      <c r="DU260" s="65"/>
      <c r="DV260" s="13"/>
      <c r="DY260" s="65"/>
      <c r="DZ260" s="13"/>
      <c r="EA260" s="14"/>
      <c r="EC260" s="65"/>
      <c r="ED260" s="13"/>
      <c r="EE260" s="14"/>
      <c r="EG260" s="65"/>
      <c r="EH260" s="13"/>
      <c r="EI260" s="14"/>
      <c r="EK260" s="65"/>
      <c r="EL260" s="13"/>
      <c r="EM260" s="14"/>
      <c r="EO260" s="65"/>
      <c r="EP260" s="13"/>
      <c r="EQ260" s="14"/>
      <c r="ES260" s="65"/>
      <c r="ET260" s="13"/>
      <c r="EU260" s="14"/>
      <c r="EW260" s="65"/>
      <c r="EX260" s="13"/>
      <c r="EY260" s="14"/>
      <c r="FA260" s="65"/>
      <c r="FB260" s="13"/>
      <c r="FC260" s="14"/>
      <c r="FE260" s="65"/>
      <c r="FF260" s="13"/>
      <c r="FG260" s="14"/>
      <c r="FI260" s="65"/>
      <c r="FJ260" s="13"/>
      <c r="FK260" s="14"/>
      <c r="FM260" s="65"/>
      <c r="FN260" s="13"/>
      <c r="FO260" s="14"/>
      <c r="FQ260" s="65"/>
      <c r="FR260" s="13"/>
      <c r="FS260" s="14"/>
      <c r="FU260" s="65"/>
      <c r="FV260" s="13"/>
      <c r="FW260" s="14"/>
      <c r="FY260" s="65"/>
      <c r="FZ260" s="13"/>
      <c r="GA260" s="14"/>
      <c r="GC260" s="65"/>
      <c r="GD260" s="13"/>
      <c r="GE260" s="14"/>
      <c r="GG260" s="65"/>
      <c r="GH260" s="13"/>
      <c r="GI260" s="14"/>
      <c r="GK260" s="65"/>
      <c r="GL260" s="13"/>
      <c r="GM260" s="14"/>
      <c r="GO260" s="65"/>
      <c r="GP260" s="13"/>
      <c r="GQ260" s="14"/>
      <c r="GS260" s="65"/>
      <c r="GT260" s="13"/>
      <c r="GU260" s="14"/>
      <c r="GW260" s="65"/>
      <c r="GX260" s="13"/>
      <c r="GY260" s="14"/>
      <c r="HA260" s="65"/>
      <c r="HB260" s="13"/>
      <c r="HC260" s="14"/>
      <c r="HE260" s="65"/>
      <c r="HF260" s="13"/>
      <c r="HG260" s="14"/>
      <c r="HI260" s="65"/>
      <c r="HJ260" s="13"/>
      <c r="HK260" s="14"/>
      <c r="HM260" s="65"/>
      <c r="HN260" s="13"/>
      <c r="HO260" s="14"/>
      <c r="HQ260" s="65"/>
      <c r="HR260" s="13"/>
      <c r="HS260" s="14"/>
      <c r="HU260" s="65"/>
      <c r="HV260" s="13"/>
      <c r="HW260" s="14"/>
      <c r="HY260" s="65"/>
      <c r="HZ260" s="13"/>
      <c r="IA260" s="14"/>
      <c r="IC260" s="65"/>
      <c r="ID260" s="13"/>
      <c r="IE260" s="14"/>
      <c r="IG260" s="65"/>
      <c r="IH260" s="13"/>
      <c r="II260" s="14"/>
      <c r="IK260" s="65"/>
      <c r="IL260" s="13"/>
      <c r="IM260" s="14"/>
      <c r="IO260" s="65"/>
      <c r="IP260" s="13"/>
      <c r="IQ260" s="14"/>
      <c r="IS260" s="65"/>
      <c r="IT260" s="13"/>
      <c r="IU260" s="14"/>
      <c r="IW260" s="65"/>
      <c r="IX260" s="13"/>
      <c r="IY260" s="14"/>
      <c r="JA260" s="65"/>
      <c r="JB260" s="13"/>
      <c r="JC260" s="14"/>
      <c r="JE260" s="65"/>
      <c r="JF260" s="13"/>
      <c r="JG260" s="14"/>
      <c r="JI260" s="65"/>
      <c r="JJ260" s="13"/>
      <c r="JK260" s="14"/>
      <c r="JM260" s="65"/>
      <c r="JN260" s="13"/>
      <c r="JO260" s="14"/>
      <c r="JQ260" s="65"/>
      <c r="JR260" s="13"/>
      <c r="JS260" s="14"/>
      <c r="JU260" s="65"/>
      <c r="JV260" s="13"/>
      <c r="JW260" s="14"/>
      <c r="JY260" s="65"/>
      <c r="JZ260" s="13"/>
      <c r="KA260" s="14"/>
      <c r="KC260" s="65"/>
      <c r="KD260" s="13"/>
      <c r="KE260" s="14"/>
      <c r="KG260" s="65"/>
      <c r="KH260" s="13"/>
      <c r="KI260" s="14"/>
      <c r="KK260" s="65"/>
      <c r="KL260" s="13"/>
      <c r="KM260" s="14"/>
      <c r="KO260" s="65"/>
      <c r="KP260" s="13"/>
      <c r="KQ260" s="14"/>
      <c r="KS260" s="65"/>
      <c r="KT260" s="13"/>
      <c r="KU260" s="14"/>
      <c r="KW260" s="65"/>
      <c r="KX260" s="13"/>
      <c r="KY260" s="14"/>
      <c r="LA260" s="65"/>
      <c r="LB260" s="13"/>
      <c r="LC260" s="14"/>
      <c r="LE260" s="65"/>
      <c r="LF260" s="13"/>
      <c r="LG260" s="14"/>
      <c r="LI260" s="65"/>
      <c r="LJ260" s="13"/>
      <c r="LK260" s="14"/>
      <c r="LM260" s="65"/>
      <c r="LN260" s="13"/>
      <c r="LO260" s="14"/>
      <c r="LQ260" s="65"/>
      <c r="LR260" s="13"/>
      <c r="LS260" s="14"/>
      <c r="LU260" s="65"/>
      <c r="LV260" s="13"/>
      <c r="LW260" s="14"/>
      <c r="LY260" s="65"/>
      <c r="LZ260" s="13"/>
      <c r="MA260" s="14"/>
      <c r="MC260" s="65"/>
      <c r="MD260" s="13"/>
      <c r="ME260" s="14"/>
      <c r="MG260" s="65"/>
      <c r="MH260" s="13"/>
      <c r="MI260" s="14"/>
      <c r="MK260" s="65"/>
      <c r="ML260" s="13"/>
      <c r="MM260" s="14"/>
      <c r="MO260" s="65"/>
      <c r="MP260" s="13"/>
      <c r="MQ260" s="14"/>
      <c r="MS260" s="65"/>
      <c r="MT260" s="13"/>
      <c r="MU260" s="14"/>
    </row>
    <row r="261" spans="1:359" hidden="1" x14ac:dyDescent="0.25">
      <c r="A261" s="15">
        <f t="shared" si="194"/>
        <v>1534000.4264282002</v>
      </c>
      <c r="B261" s="20">
        <v>42955</v>
      </c>
      <c r="T261" s="15"/>
      <c r="U261" s="20"/>
      <c r="AK261" s="12"/>
      <c r="AL261" s="13"/>
      <c r="AM261" s="14"/>
      <c r="CK261" s="65"/>
      <c r="CL261" s="13"/>
      <c r="CO261" s="65"/>
      <c r="CP261" s="13"/>
      <c r="CS261" s="65"/>
      <c r="CT261" s="13"/>
      <c r="CW261" s="65"/>
      <c r="CX261" s="13"/>
      <c r="DA261" s="65"/>
      <c r="DB261" s="13"/>
      <c r="DE261" s="65"/>
      <c r="DF261" s="13"/>
      <c r="DI261" s="65"/>
      <c r="DJ261" s="13"/>
      <c r="DM261" s="65"/>
      <c r="DN261" s="13"/>
      <c r="DQ261" s="65"/>
      <c r="DR261" s="13"/>
      <c r="DU261" s="65"/>
      <c r="DV261" s="13"/>
      <c r="DY261" s="65"/>
      <c r="DZ261" s="13"/>
      <c r="EA261" s="14"/>
      <c r="EC261" s="65"/>
      <c r="ED261" s="13"/>
      <c r="EE261" s="14"/>
      <c r="EG261" s="65"/>
      <c r="EH261" s="13"/>
      <c r="EI261" s="14"/>
      <c r="EK261" s="65"/>
      <c r="EL261" s="13"/>
      <c r="EM261" s="14"/>
      <c r="EO261" s="65"/>
      <c r="EP261" s="13"/>
      <c r="EQ261" s="14"/>
      <c r="ES261" s="65"/>
      <c r="ET261" s="13"/>
      <c r="EU261" s="14"/>
      <c r="EW261" s="65"/>
      <c r="EX261" s="13"/>
      <c r="EY261" s="14"/>
      <c r="FA261" s="65"/>
      <c r="FB261" s="13"/>
      <c r="FC261" s="14"/>
      <c r="FE261" s="65"/>
      <c r="FF261" s="13"/>
      <c r="FG261" s="14"/>
      <c r="FI261" s="65"/>
      <c r="FJ261" s="13"/>
      <c r="FK261" s="14"/>
      <c r="FM261" s="65"/>
      <c r="FN261" s="13"/>
      <c r="FO261" s="14"/>
      <c r="FQ261" s="65"/>
      <c r="FR261" s="13"/>
      <c r="FS261" s="14"/>
      <c r="FU261" s="65"/>
      <c r="FV261" s="13"/>
      <c r="FW261" s="14"/>
      <c r="FY261" s="65"/>
      <c r="FZ261" s="13"/>
      <c r="GA261" s="14"/>
      <c r="GC261" s="65"/>
      <c r="GD261" s="13"/>
      <c r="GE261" s="14"/>
      <c r="GG261" s="65"/>
      <c r="GH261" s="13"/>
      <c r="GI261" s="14"/>
      <c r="GK261" s="65"/>
      <c r="GL261" s="13"/>
      <c r="GM261" s="14"/>
      <c r="GO261" s="65"/>
      <c r="GP261" s="13"/>
      <c r="GQ261" s="14"/>
      <c r="GS261" s="65"/>
      <c r="GT261" s="13"/>
      <c r="GU261" s="14"/>
      <c r="GW261" s="65"/>
      <c r="GX261" s="13"/>
      <c r="GY261" s="14"/>
      <c r="HA261" s="65"/>
      <c r="HB261" s="13"/>
      <c r="HC261" s="14"/>
      <c r="HE261" s="65"/>
      <c r="HF261" s="13"/>
      <c r="HG261" s="14"/>
      <c r="HI261" s="65"/>
      <c r="HJ261" s="13"/>
      <c r="HK261" s="14"/>
      <c r="HM261" s="65"/>
      <c r="HN261" s="13"/>
      <c r="HO261" s="14"/>
      <c r="HQ261" s="65"/>
      <c r="HR261" s="13"/>
      <c r="HS261" s="14"/>
      <c r="HU261" s="65"/>
      <c r="HV261" s="13"/>
      <c r="HW261" s="14"/>
      <c r="HY261" s="65"/>
      <c r="HZ261" s="13"/>
      <c r="IA261" s="14"/>
      <c r="IC261" s="65"/>
      <c r="ID261" s="13"/>
      <c r="IE261" s="14"/>
      <c r="IG261" s="65"/>
      <c r="IH261" s="13"/>
      <c r="II261" s="14"/>
      <c r="IK261" s="65"/>
      <c r="IL261" s="13"/>
      <c r="IM261" s="14"/>
      <c r="IO261" s="65"/>
      <c r="IP261" s="13"/>
      <c r="IQ261" s="14"/>
      <c r="IS261" s="65"/>
      <c r="IT261" s="13"/>
      <c r="IU261" s="14"/>
      <c r="IW261" s="65"/>
      <c r="IX261" s="13"/>
      <c r="IY261" s="14"/>
      <c r="JA261" s="65"/>
      <c r="JB261" s="13"/>
      <c r="JC261" s="14"/>
      <c r="JE261" s="65"/>
      <c r="JF261" s="13"/>
      <c r="JG261" s="14"/>
      <c r="JI261" s="65"/>
      <c r="JJ261" s="13"/>
      <c r="JK261" s="14"/>
      <c r="JM261" s="65"/>
      <c r="JN261" s="13"/>
      <c r="JO261" s="14"/>
      <c r="JQ261" s="65"/>
      <c r="JR261" s="13"/>
      <c r="JS261" s="14"/>
      <c r="JU261" s="65"/>
      <c r="JV261" s="13"/>
      <c r="JW261" s="14"/>
      <c r="JY261" s="65"/>
      <c r="JZ261" s="13"/>
      <c r="KA261" s="14"/>
      <c r="KC261" s="65"/>
      <c r="KD261" s="13"/>
      <c r="KE261" s="14"/>
      <c r="KG261" s="65"/>
      <c r="KH261" s="13"/>
      <c r="KI261" s="14"/>
      <c r="KK261" s="65"/>
      <c r="KL261" s="13"/>
      <c r="KM261" s="14"/>
      <c r="KO261" s="65"/>
      <c r="KP261" s="13"/>
      <c r="KQ261" s="14"/>
      <c r="KS261" s="65"/>
      <c r="KT261" s="13"/>
      <c r="KU261" s="14"/>
      <c r="KW261" s="65"/>
      <c r="KX261" s="13"/>
      <c r="KY261" s="14"/>
      <c r="LA261" s="65"/>
      <c r="LB261" s="13"/>
      <c r="LC261" s="14"/>
      <c r="LE261" s="65"/>
      <c r="LF261" s="13"/>
      <c r="LG261" s="14"/>
      <c r="LI261" s="65"/>
      <c r="LJ261" s="13"/>
      <c r="LK261" s="14"/>
      <c r="LM261" s="65"/>
      <c r="LN261" s="13"/>
      <c r="LO261" s="14"/>
      <c r="LQ261" s="65"/>
      <c r="LR261" s="13"/>
      <c r="LS261" s="14"/>
      <c r="LU261" s="65"/>
      <c r="LV261" s="13"/>
      <c r="LW261" s="14"/>
      <c r="LY261" s="65"/>
      <c r="LZ261" s="13"/>
      <c r="MA261" s="14"/>
      <c r="MC261" s="65"/>
      <c r="MD261" s="13"/>
      <c r="ME261" s="14"/>
      <c r="MG261" s="65"/>
      <c r="MH261" s="13"/>
      <c r="MI261" s="14"/>
      <c r="MK261" s="65"/>
      <c r="ML261" s="13"/>
      <c r="MM261" s="14"/>
      <c r="MO261" s="65"/>
      <c r="MP261" s="13"/>
      <c r="MQ261" s="14"/>
      <c r="MS261" s="65"/>
      <c r="MT261" s="13"/>
      <c r="MU261" s="14"/>
    </row>
    <row r="262" spans="1:359" hidden="1" x14ac:dyDescent="0.25">
      <c r="A262" s="15">
        <f t="shared" si="194"/>
        <v>1534079.1607357031</v>
      </c>
      <c r="B262" s="20">
        <v>42956</v>
      </c>
      <c r="T262" s="15"/>
      <c r="U262" s="20"/>
      <c r="AK262" s="12"/>
      <c r="AL262" s="13"/>
      <c r="AM262" s="14"/>
      <c r="CK262" s="65"/>
      <c r="CL262" s="13"/>
      <c r="CO262" s="65"/>
      <c r="CP262" s="13"/>
      <c r="CS262" s="65"/>
      <c r="CT262" s="13"/>
      <c r="CW262" s="65"/>
      <c r="CX262" s="13"/>
      <c r="DA262" s="65"/>
      <c r="DB262" s="13"/>
      <c r="DE262" s="65"/>
      <c r="DF262" s="13"/>
      <c r="DI262" s="65"/>
      <c r="DJ262" s="13"/>
      <c r="DM262" s="65"/>
      <c r="DN262" s="13"/>
      <c r="DQ262" s="65"/>
      <c r="DR262" s="13"/>
      <c r="DU262" s="65"/>
      <c r="DV262" s="13"/>
      <c r="DY262" s="65"/>
      <c r="DZ262" s="13"/>
      <c r="EA262" s="14"/>
      <c r="EC262" s="65"/>
      <c r="ED262" s="13"/>
      <c r="EE262" s="14"/>
      <c r="EG262" s="65"/>
      <c r="EH262" s="13"/>
      <c r="EI262" s="14"/>
      <c r="EK262" s="65"/>
      <c r="EL262" s="13"/>
      <c r="EM262" s="14"/>
      <c r="EO262" s="65"/>
      <c r="EP262" s="13"/>
      <c r="EQ262" s="14"/>
      <c r="ES262" s="65"/>
      <c r="ET262" s="13"/>
      <c r="EU262" s="14"/>
      <c r="EW262" s="65"/>
      <c r="EX262" s="13"/>
      <c r="EY262" s="14"/>
      <c r="FA262" s="65"/>
      <c r="FB262" s="13"/>
      <c r="FC262" s="14"/>
      <c r="FE262" s="65"/>
      <c r="FF262" s="13"/>
      <c r="FG262" s="14"/>
      <c r="FI262" s="65"/>
      <c r="FJ262" s="13"/>
      <c r="FK262" s="14"/>
      <c r="FM262" s="65"/>
      <c r="FN262" s="13"/>
      <c r="FO262" s="14"/>
      <c r="FQ262" s="65"/>
      <c r="FR262" s="13"/>
      <c r="FS262" s="14"/>
      <c r="FU262" s="65"/>
      <c r="FV262" s="13"/>
      <c r="FW262" s="14"/>
      <c r="FY262" s="65"/>
      <c r="FZ262" s="13"/>
      <c r="GA262" s="14"/>
      <c r="GC262" s="65"/>
      <c r="GD262" s="13"/>
      <c r="GE262" s="14"/>
      <c r="GG262" s="65"/>
      <c r="GH262" s="13"/>
      <c r="GI262" s="14"/>
      <c r="GK262" s="65"/>
      <c r="GL262" s="13"/>
      <c r="GM262" s="14"/>
      <c r="GO262" s="65"/>
      <c r="GP262" s="13"/>
      <c r="GQ262" s="14"/>
      <c r="GS262" s="65"/>
      <c r="GT262" s="13"/>
      <c r="GU262" s="14"/>
      <c r="GW262" s="65"/>
      <c r="GX262" s="13"/>
      <c r="GY262" s="14"/>
      <c r="HA262" s="65"/>
      <c r="HB262" s="13"/>
      <c r="HC262" s="14"/>
      <c r="HE262" s="65"/>
      <c r="HF262" s="13"/>
      <c r="HG262" s="14"/>
      <c r="HI262" s="65"/>
      <c r="HJ262" s="13"/>
      <c r="HK262" s="14"/>
      <c r="HM262" s="65"/>
      <c r="HN262" s="13"/>
      <c r="HO262" s="14"/>
      <c r="HQ262" s="65"/>
      <c r="HR262" s="13"/>
      <c r="HS262" s="14"/>
      <c r="HU262" s="65"/>
      <c r="HV262" s="13"/>
      <c r="HW262" s="14"/>
      <c r="HY262" s="65"/>
      <c r="HZ262" s="13"/>
      <c r="IA262" s="14"/>
      <c r="IC262" s="65"/>
      <c r="ID262" s="13"/>
      <c r="IE262" s="14"/>
      <c r="IG262" s="65"/>
      <c r="IH262" s="13"/>
      <c r="II262" s="14"/>
      <c r="IK262" s="65"/>
      <c r="IL262" s="13"/>
      <c r="IM262" s="14"/>
      <c r="IO262" s="65"/>
      <c r="IP262" s="13"/>
      <c r="IQ262" s="14"/>
      <c r="IS262" s="65"/>
      <c r="IT262" s="13"/>
      <c r="IU262" s="14"/>
      <c r="IW262" s="65"/>
      <c r="IX262" s="13"/>
      <c r="IY262" s="14"/>
      <c r="JA262" s="65"/>
      <c r="JB262" s="13"/>
      <c r="JC262" s="14"/>
      <c r="JE262" s="65"/>
      <c r="JF262" s="13"/>
      <c r="JG262" s="14"/>
      <c r="JI262" s="65"/>
      <c r="JJ262" s="13"/>
      <c r="JK262" s="14"/>
      <c r="JM262" s="65"/>
      <c r="JN262" s="13"/>
      <c r="JO262" s="14"/>
      <c r="JQ262" s="65"/>
      <c r="JR262" s="13"/>
      <c r="JS262" s="14"/>
      <c r="JU262" s="65"/>
      <c r="JV262" s="13"/>
      <c r="JW262" s="14"/>
      <c r="JY262" s="65"/>
      <c r="JZ262" s="13"/>
      <c r="KA262" s="14"/>
      <c r="KC262" s="65"/>
      <c r="KD262" s="13"/>
      <c r="KE262" s="14"/>
      <c r="KG262" s="65"/>
      <c r="KH262" s="13"/>
      <c r="KI262" s="14"/>
      <c r="KK262" s="65"/>
      <c r="KL262" s="13"/>
      <c r="KM262" s="14"/>
      <c r="KO262" s="65"/>
      <c r="KP262" s="13"/>
      <c r="KQ262" s="14"/>
      <c r="KS262" s="65"/>
      <c r="KT262" s="13"/>
      <c r="KU262" s="14"/>
      <c r="KW262" s="65"/>
      <c r="KX262" s="13"/>
      <c r="KY262" s="14"/>
      <c r="LA262" s="65"/>
      <c r="LB262" s="13"/>
      <c r="LC262" s="14"/>
      <c r="LE262" s="65"/>
      <c r="LF262" s="13"/>
      <c r="LG262" s="14"/>
      <c r="LI262" s="65"/>
      <c r="LJ262" s="13"/>
      <c r="LK262" s="14"/>
      <c r="LM262" s="65"/>
      <c r="LN262" s="13"/>
      <c r="LO262" s="14"/>
      <c r="LQ262" s="65"/>
      <c r="LR262" s="13"/>
      <c r="LS262" s="14"/>
      <c r="LU262" s="65"/>
      <c r="LV262" s="13"/>
      <c r="LW262" s="14"/>
      <c r="LY262" s="65"/>
      <c r="LZ262" s="13"/>
      <c r="MA262" s="14"/>
      <c r="MC262" s="65"/>
      <c r="MD262" s="13"/>
      <c r="ME262" s="14"/>
      <c r="MG262" s="65"/>
      <c r="MH262" s="13"/>
      <c r="MI262" s="14"/>
      <c r="MK262" s="65"/>
      <c r="ML262" s="13"/>
      <c r="MM262" s="14"/>
      <c r="MO262" s="65"/>
      <c r="MP262" s="13"/>
      <c r="MQ262" s="14"/>
      <c r="MS262" s="65"/>
      <c r="MT262" s="13"/>
      <c r="MU262" s="14"/>
    </row>
    <row r="263" spans="1:359" hidden="1" x14ac:dyDescent="0.25">
      <c r="A263" s="15">
        <f t="shared" si="194"/>
        <v>1534157.9031258759</v>
      </c>
      <c r="B263" s="20">
        <v>42957</v>
      </c>
      <c r="T263" s="15"/>
      <c r="U263" s="20"/>
      <c r="CK263" s="65"/>
      <c r="CL263" s="13"/>
      <c r="CO263" s="65"/>
      <c r="CP263" s="13"/>
      <c r="CS263" s="65"/>
      <c r="CT263" s="13"/>
      <c r="CW263" s="65"/>
      <c r="CX263" s="13"/>
      <c r="DA263" s="65"/>
      <c r="DB263" s="13"/>
      <c r="DE263" s="65"/>
      <c r="DF263" s="13"/>
      <c r="DI263" s="65"/>
      <c r="DJ263" s="13"/>
      <c r="DM263" s="65"/>
      <c r="DN263" s="13"/>
      <c r="DQ263" s="65"/>
      <c r="DR263" s="13"/>
      <c r="DU263" s="65"/>
      <c r="DV263" s="13"/>
      <c r="DY263" s="65"/>
      <c r="DZ263" s="13"/>
      <c r="EA263" s="14"/>
      <c r="EC263" s="65"/>
      <c r="ED263" s="13"/>
      <c r="EE263" s="14"/>
      <c r="EG263" s="65"/>
      <c r="EH263" s="13"/>
      <c r="EI263" s="14"/>
      <c r="EK263" s="65"/>
      <c r="EL263" s="13"/>
      <c r="EM263" s="14"/>
      <c r="EO263" s="65"/>
      <c r="EP263" s="13"/>
      <c r="EQ263" s="14"/>
      <c r="ES263" s="65"/>
      <c r="ET263" s="13"/>
      <c r="EU263" s="14"/>
      <c r="EW263" s="65"/>
      <c r="EX263" s="13"/>
      <c r="EY263" s="14"/>
      <c r="FA263" s="65"/>
      <c r="FB263" s="13"/>
      <c r="FC263" s="14"/>
      <c r="FE263" s="65"/>
      <c r="FF263" s="13"/>
      <c r="FG263" s="14"/>
      <c r="FI263" s="65"/>
      <c r="FJ263" s="13"/>
      <c r="FK263" s="14"/>
      <c r="FM263" s="65"/>
      <c r="FN263" s="13"/>
      <c r="FO263" s="14"/>
      <c r="FQ263" s="65"/>
      <c r="FR263" s="13"/>
      <c r="FS263" s="14"/>
      <c r="FU263" s="65"/>
      <c r="FV263" s="13"/>
      <c r="FW263" s="14"/>
      <c r="FY263" s="65"/>
      <c r="FZ263" s="13"/>
      <c r="GA263" s="14"/>
      <c r="GC263" s="65"/>
      <c r="GD263" s="13"/>
      <c r="GE263" s="14"/>
      <c r="GG263" s="65"/>
      <c r="GH263" s="13"/>
      <c r="GI263" s="14"/>
      <c r="GK263" s="65"/>
      <c r="GL263" s="13"/>
      <c r="GM263" s="14"/>
      <c r="GO263" s="65"/>
      <c r="GP263" s="13"/>
      <c r="GQ263" s="14"/>
      <c r="GS263" s="65"/>
      <c r="GT263" s="13"/>
      <c r="GU263" s="14"/>
      <c r="GW263" s="65"/>
      <c r="GX263" s="13"/>
      <c r="GY263" s="14"/>
      <c r="HA263" s="65"/>
      <c r="HB263" s="13"/>
      <c r="HC263" s="14"/>
      <c r="HE263" s="65"/>
      <c r="HF263" s="13"/>
      <c r="HG263" s="14"/>
      <c r="HI263" s="65"/>
      <c r="HJ263" s="13"/>
      <c r="HK263" s="14"/>
      <c r="HM263" s="65"/>
      <c r="HN263" s="13"/>
      <c r="HO263" s="14"/>
      <c r="HQ263" s="65"/>
      <c r="HR263" s="13"/>
      <c r="HS263" s="14"/>
      <c r="HU263" s="65"/>
      <c r="HV263" s="13"/>
      <c r="HW263" s="14"/>
      <c r="HY263" s="65"/>
      <c r="HZ263" s="13"/>
      <c r="IA263" s="14"/>
      <c r="IC263" s="65"/>
      <c r="ID263" s="13"/>
      <c r="IE263" s="14"/>
      <c r="IG263" s="65"/>
      <c r="IH263" s="13"/>
      <c r="II263" s="14"/>
      <c r="IK263" s="65"/>
      <c r="IL263" s="13"/>
      <c r="IM263" s="14"/>
      <c r="IO263" s="65"/>
      <c r="IP263" s="13"/>
      <c r="IQ263" s="14"/>
      <c r="IS263" s="65"/>
      <c r="IT263" s="13"/>
      <c r="IU263" s="14"/>
      <c r="IW263" s="65"/>
      <c r="IX263" s="13"/>
      <c r="IY263" s="14"/>
      <c r="JA263" s="65"/>
      <c r="JB263" s="13"/>
      <c r="JC263" s="14"/>
      <c r="JE263" s="65"/>
      <c r="JF263" s="13"/>
      <c r="JG263" s="14"/>
      <c r="JI263" s="65"/>
      <c r="JJ263" s="13"/>
      <c r="JK263" s="14"/>
      <c r="JM263" s="65"/>
      <c r="JN263" s="13"/>
      <c r="JO263" s="14"/>
      <c r="JQ263" s="65"/>
      <c r="JR263" s="13"/>
      <c r="JS263" s="14"/>
      <c r="JU263" s="65"/>
      <c r="JV263" s="13"/>
      <c r="JW263" s="14"/>
      <c r="JY263" s="65"/>
      <c r="JZ263" s="13"/>
      <c r="KA263" s="14"/>
      <c r="KC263" s="65"/>
      <c r="KD263" s="13"/>
      <c r="KE263" s="14"/>
      <c r="KG263" s="65"/>
      <c r="KH263" s="13"/>
      <c r="KI263" s="14"/>
      <c r="KK263" s="65"/>
      <c r="KL263" s="13"/>
      <c r="KM263" s="14"/>
      <c r="KO263" s="65"/>
      <c r="KP263" s="13"/>
      <c r="KQ263" s="14"/>
      <c r="KS263" s="65"/>
      <c r="KT263" s="13"/>
      <c r="KU263" s="14"/>
      <c r="KW263" s="65"/>
      <c r="KX263" s="13"/>
      <c r="KY263" s="14"/>
      <c r="LA263" s="65"/>
      <c r="LB263" s="13"/>
      <c r="LC263" s="14"/>
      <c r="LE263" s="65"/>
      <c r="LF263" s="13"/>
      <c r="LG263" s="14"/>
      <c r="LI263" s="65"/>
      <c r="LJ263" s="13"/>
      <c r="LK263" s="14"/>
      <c r="LM263" s="65"/>
      <c r="LN263" s="13"/>
      <c r="LO263" s="14"/>
      <c r="LQ263" s="65"/>
      <c r="LR263" s="13"/>
      <c r="LS263" s="14"/>
      <c r="LU263" s="65"/>
      <c r="LV263" s="13"/>
      <c r="LW263" s="14"/>
      <c r="LY263" s="65"/>
      <c r="LZ263" s="13"/>
      <c r="MA263" s="14"/>
      <c r="MC263" s="65"/>
      <c r="MD263" s="13"/>
      <c r="ME263" s="14"/>
      <c r="MG263" s="65"/>
      <c r="MH263" s="13"/>
      <c r="MI263" s="14"/>
      <c r="MK263" s="65"/>
      <c r="ML263" s="13"/>
      <c r="MM263" s="14"/>
      <c r="MO263" s="65"/>
      <c r="MP263" s="13"/>
      <c r="MQ263" s="14"/>
      <c r="MS263" s="65"/>
      <c r="MT263" s="13"/>
      <c r="MU263" s="14"/>
    </row>
    <row r="264" spans="1:359" hidden="1" x14ac:dyDescent="0.25">
      <c r="A264" s="15">
        <f>+AH15+AL8</f>
        <v>2920218.3735999633</v>
      </c>
      <c r="B264" s="20">
        <v>42958</v>
      </c>
      <c r="T264" s="15"/>
      <c r="U264" s="20"/>
      <c r="CK264" s="65"/>
      <c r="CL264" s="13"/>
      <c r="CO264" s="65"/>
      <c r="CP264" s="13"/>
      <c r="CS264" s="65"/>
      <c r="CT264" s="13"/>
      <c r="CW264" s="65"/>
      <c r="CX264" s="13"/>
      <c r="DA264" s="65"/>
      <c r="DB264" s="13"/>
      <c r="DE264" s="65"/>
      <c r="DF264" s="13"/>
      <c r="DI264" s="65"/>
      <c r="DJ264" s="13"/>
      <c r="DM264" s="65"/>
      <c r="DN264" s="13"/>
      <c r="DQ264" s="65"/>
      <c r="DR264" s="13"/>
      <c r="DU264" s="65"/>
      <c r="DV264" s="13"/>
      <c r="DY264" s="65"/>
      <c r="DZ264" s="13"/>
      <c r="EA264" s="14"/>
      <c r="EC264" s="65"/>
      <c r="ED264" s="13"/>
      <c r="EE264" s="14"/>
      <c r="EG264" s="65"/>
      <c r="EH264" s="13"/>
      <c r="EI264" s="14"/>
      <c r="EK264" s="65"/>
      <c r="EL264" s="13"/>
      <c r="EM264" s="14"/>
      <c r="EO264" s="65"/>
      <c r="EP264" s="13"/>
      <c r="EQ264" s="14"/>
      <c r="ES264" s="65"/>
      <c r="ET264" s="13"/>
      <c r="EU264" s="14"/>
      <c r="EW264" s="65"/>
      <c r="EX264" s="13"/>
      <c r="EY264" s="14"/>
      <c r="FA264" s="65"/>
      <c r="FB264" s="13"/>
      <c r="FC264" s="14"/>
      <c r="FE264" s="65"/>
      <c r="FF264" s="13"/>
      <c r="FG264" s="14"/>
      <c r="FI264" s="65"/>
      <c r="FJ264" s="13"/>
      <c r="FK264" s="14"/>
      <c r="FM264" s="65"/>
      <c r="FN264" s="13"/>
      <c r="FO264" s="14"/>
      <c r="FQ264" s="65"/>
      <c r="FR264" s="13"/>
      <c r="FS264" s="14"/>
      <c r="FU264" s="65"/>
      <c r="FV264" s="13"/>
      <c r="FW264" s="14"/>
      <c r="FY264" s="65"/>
      <c r="FZ264" s="13"/>
      <c r="GA264" s="14"/>
      <c r="GC264" s="65"/>
      <c r="GD264" s="13"/>
      <c r="GE264" s="14"/>
      <c r="GG264" s="65"/>
      <c r="GH264" s="13"/>
      <c r="GI264" s="14"/>
      <c r="GK264" s="65"/>
      <c r="GL264" s="13"/>
      <c r="GM264" s="14"/>
      <c r="GO264" s="65"/>
      <c r="GP264" s="13"/>
      <c r="GQ264" s="14"/>
      <c r="GS264" s="65"/>
      <c r="GT264" s="13"/>
      <c r="GU264" s="14"/>
      <c r="GW264" s="65"/>
      <c r="GX264" s="13"/>
      <c r="GY264" s="14"/>
      <c r="HA264" s="65"/>
      <c r="HB264" s="13"/>
      <c r="HC264" s="14"/>
      <c r="HE264" s="65"/>
      <c r="HF264" s="13"/>
      <c r="HG264" s="14"/>
      <c r="HI264" s="65"/>
      <c r="HJ264" s="13"/>
      <c r="HK264" s="14"/>
      <c r="HM264" s="65"/>
      <c r="HN264" s="13"/>
      <c r="HO264" s="14"/>
      <c r="HQ264" s="65"/>
      <c r="HR264" s="13"/>
      <c r="HS264" s="14"/>
      <c r="HU264" s="65"/>
      <c r="HV264" s="13"/>
      <c r="HW264" s="14"/>
      <c r="HY264" s="65"/>
      <c r="HZ264" s="13"/>
      <c r="IA264" s="14"/>
      <c r="IC264" s="65"/>
      <c r="ID264" s="13"/>
      <c r="IE264" s="14"/>
      <c r="IG264" s="65"/>
      <c r="IH264" s="13"/>
      <c r="II264" s="14"/>
      <c r="IK264" s="65"/>
      <c r="IL264" s="13"/>
      <c r="IM264" s="14"/>
      <c r="IO264" s="65"/>
      <c r="IP264" s="13"/>
      <c r="IQ264" s="14"/>
      <c r="IS264" s="65"/>
      <c r="IT264" s="13"/>
      <c r="IU264" s="14"/>
      <c r="IW264" s="65"/>
      <c r="IX264" s="13"/>
      <c r="IY264" s="14"/>
      <c r="JA264" s="65"/>
      <c r="JB264" s="13"/>
      <c r="JC264" s="14"/>
      <c r="JE264" s="65"/>
      <c r="JF264" s="13"/>
      <c r="JG264" s="14"/>
      <c r="JI264" s="65"/>
      <c r="JJ264" s="13"/>
      <c r="JK264" s="14"/>
      <c r="JM264" s="65"/>
      <c r="JN264" s="13"/>
      <c r="JO264" s="14"/>
      <c r="JQ264" s="65"/>
      <c r="JR264" s="13"/>
      <c r="JS264" s="14"/>
      <c r="JU264" s="65"/>
      <c r="JV264" s="13"/>
      <c r="JW264" s="14"/>
      <c r="JY264" s="65"/>
      <c r="JZ264" s="13"/>
      <c r="KA264" s="14"/>
      <c r="KC264" s="65"/>
      <c r="KD264" s="13"/>
      <c r="KE264" s="14"/>
      <c r="KG264" s="65"/>
      <c r="KH264" s="13"/>
      <c r="KI264" s="14"/>
      <c r="KK264" s="65"/>
      <c r="KL264" s="13"/>
      <c r="KM264" s="14"/>
      <c r="KO264" s="65"/>
      <c r="KP264" s="13"/>
      <c r="KQ264" s="14"/>
      <c r="KS264" s="65"/>
      <c r="KT264" s="13"/>
      <c r="KU264" s="14"/>
      <c r="KW264" s="65"/>
      <c r="KX264" s="13"/>
      <c r="KY264" s="14"/>
      <c r="LA264" s="65"/>
      <c r="LB264" s="13"/>
      <c r="LC264" s="14"/>
      <c r="LE264" s="65"/>
      <c r="LF264" s="13"/>
      <c r="LG264" s="14"/>
      <c r="LI264" s="65"/>
      <c r="LJ264" s="13"/>
      <c r="LK264" s="14"/>
      <c r="LM264" s="65"/>
      <c r="LN264" s="13"/>
      <c r="LO264" s="14"/>
      <c r="LQ264" s="65"/>
      <c r="LR264" s="13"/>
      <c r="LS264" s="14"/>
      <c r="LU264" s="65"/>
      <c r="LV264" s="13"/>
      <c r="LW264" s="14"/>
      <c r="LY264" s="65"/>
      <c r="LZ264" s="13"/>
      <c r="MA264" s="14"/>
      <c r="MC264" s="65"/>
      <c r="MD264" s="13"/>
      <c r="ME264" s="14"/>
      <c r="MG264" s="65"/>
      <c r="MH264" s="13"/>
      <c r="MI264" s="14"/>
      <c r="MK264" s="65"/>
      <c r="ML264" s="13"/>
      <c r="MM264" s="14"/>
      <c r="MO264" s="65"/>
      <c r="MP264" s="13"/>
      <c r="MQ264" s="14"/>
      <c r="MS264" s="65"/>
      <c r="MT264" s="13"/>
      <c r="MU264" s="14"/>
    </row>
    <row r="265" spans="1:359" hidden="1" x14ac:dyDescent="0.25">
      <c r="A265" s="15">
        <f>+AH16+AL9</f>
        <v>2920366.4612782854</v>
      </c>
      <c r="B265" s="20">
        <v>42959</v>
      </c>
      <c r="T265" s="15"/>
      <c r="U265" s="20"/>
      <c r="CK265" s="65"/>
      <c r="CL265" s="13"/>
      <c r="CO265" s="65"/>
      <c r="CP265" s="13"/>
      <c r="CS265" s="65"/>
      <c r="CT265" s="13"/>
      <c r="CW265" s="65"/>
      <c r="CX265" s="13"/>
      <c r="DA265" s="65"/>
      <c r="DB265" s="13"/>
      <c r="DE265" s="65"/>
      <c r="DF265" s="13"/>
      <c r="DI265" s="65"/>
      <c r="DJ265" s="13"/>
      <c r="DM265" s="65"/>
      <c r="DN265" s="13"/>
      <c r="DQ265" s="65"/>
      <c r="DR265" s="13"/>
      <c r="DU265" s="65"/>
      <c r="DV265" s="13"/>
      <c r="DY265" s="65"/>
      <c r="DZ265" s="13"/>
      <c r="EA265" s="14"/>
      <c r="EC265" s="65"/>
      <c r="ED265" s="13"/>
      <c r="EE265" s="14"/>
      <c r="EG265" s="65"/>
      <c r="EH265" s="13"/>
      <c r="EI265" s="14"/>
      <c r="EK265" s="65"/>
      <c r="EL265" s="13"/>
      <c r="EM265" s="14"/>
      <c r="EO265" s="65"/>
      <c r="EP265" s="13"/>
      <c r="EQ265" s="14"/>
      <c r="ES265" s="65"/>
      <c r="ET265" s="13"/>
      <c r="EU265" s="14"/>
      <c r="EW265" s="65"/>
      <c r="EX265" s="13"/>
      <c r="EY265" s="14"/>
      <c r="FA265" s="65"/>
      <c r="FB265" s="13"/>
      <c r="FC265" s="14"/>
      <c r="FE265" s="65"/>
      <c r="FF265" s="13"/>
      <c r="FG265" s="14"/>
      <c r="FI265" s="65"/>
      <c r="FJ265" s="13"/>
      <c r="FK265" s="14"/>
      <c r="FM265" s="65"/>
      <c r="FN265" s="13"/>
      <c r="FO265" s="14"/>
      <c r="FQ265" s="65"/>
      <c r="FR265" s="13"/>
      <c r="FS265" s="14"/>
      <c r="FU265" s="65"/>
      <c r="FV265" s="13"/>
      <c r="FW265" s="14"/>
      <c r="FY265" s="65"/>
      <c r="FZ265" s="13"/>
      <c r="GA265" s="14"/>
      <c r="GC265" s="65"/>
      <c r="GD265" s="13"/>
      <c r="GE265" s="14"/>
      <c r="GG265" s="65"/>
      <c r="GH265" s="13"/>
      <c r="GI265" s="14"/>
      <c r="GK265" s="65"/>
      <c r="GL265" s="13"/>
      <c r="GM265" s="14"/>
      <c r="GO265" s="65"/>
      <c r="GP265" s="13"/>
      <c r="GQ265" s="14"/>
      <c r="GS265" s="65"/>
      <c r="GT265" s="13"/>
      <c r="GU265" s="14"/>
      <c r="GW265" s="65"/>
      <c r="GX265" s="13"/>
      <c r="GY265" s="14"/>
      <c r="HA265" s="65"/>
      <c r="HB265" s="13"/>
      <c r="HC265" s="14"/>
      <c r="HE265" s="65"/>
      <c r="HF265" s="13"/>
      <c r="HG265" s="14"/>
      <c r="HI265" s="65"/>
      <c r="HJ265" s="13"/>
      <c r="HK265" s="14"/>
      <c r="HM265" s="65"/>
      <c r="HN265" s="13"/>
      <c r="HO265" s="14"/>
      <c r="HQ265" s="65"/>
      <c r="HR265" s="13"/>
      <c r="HS265" s="14"/>
      <c r="HU265" s="65"/>
      <c r="HV265" s="13"/>
      <c r="HW265" s="14"/>
      <c r="HY265" s="65"/>
      <c r="HZ265" s="13"/>
      <c r="IA265" s="14"/>
      <c r="IC265" s="65"/>
      <c r="ID265" s="13"/>
      <c r="IE265" s="14"/>
      <c r="IG265" s="65"/>
      <c r="IH265" s="13"/>
      <c r="II265" s="14"/>
      <c r="IK265" s="65"/>
      <c r="IL265" s="13"/>
      <c r="IM265" s="14"/>
      <c r="IO265" s="65"/>
      <c r="IP265" s="13"/>
      <c r="IQ265" s="14"/>
      <c r="IS265" s="65"/>
      <c r="IT265" s="13"/>
      <c r="IU265" s="14"/>
      <c r="IW265" s="65"/>
      <c r="IX265" s="13"/>
      <c r="IY265" s="14"/>
      <c r="JA265" s="65"/>
      <c r="JB265" s="13"/>
      <c r="JC265" s="14"/>
      <c r="JE265" s="65"/>
      <c r="JF265" s="13"/>
      <c r="JG265" s="14"/>
      <c r="JI265" s="65"/>
      <c r="JJ265" s="13"/>
      <c r="JK265" s="14"/>
      <c r="JM265" s="65"/>
      <c r="JN265" s="13"/>
      <c r="JO265" s="14"/>
      <c r="JQ265" s="65"/>
      <c r="JR265" s="13"/>
      <c r="JS265" s="14"/>
      <c r="JU265" s="65"/>
      <c r="JV265" s="13"/>
      <c r="JW265" s="14"/>
      <c r="JY265" s="65"/>
      <c r="JZ265" s="13"/>
      <c r="KA265" s="14"/>
      <c r="KC265" s="65"/>
      <c r="KD265" s="13"/>
      <c r="KE265" s="14"/>
      <c r="KG265" s="65"/>
      <c r="KH265" s="13"/>
      <c r="KI265" s="14"/>
      <c r="KK265" s="65"/>
      <c r="KL265" s="13"/>
      <c r="KM265" s="14"/>
      <c r="KO265" s="65"/>
      <c r="KP265" s="13"/>
      <c r="KQ265" s="14"/>
      <c r="KS265" s="65"/>
      <c r="KT265" s="13"/>
      <c r="KU265" s="14"/>
      <c r="KW265" s="65"/>
      <c r="KX265" s="13"/>
      <c r="KY265" s="14"/>
      <c r="LA265" s="65"/>
      <c r="LB265" s="13"/>
      <c r="LC265" s="14"/>
      <c r="LE265" s="65"/>
      <c r="LF265" s="13"/>
      <c r="LG265" s="14"/>
      <c r="LI265" s="65"/>
      <c r="LJ265" s="13"/>
      <c r="LK265" s="14"/>
      <c r="LM265" s="65"/>
      <c r="LN265" s="13"/>
      <c r="LO265" s="14"/>
      <c r="LQ265" s="65"/>
      <c r="LR265" s="13"/>
      <c r="LS265" s="14"/>
      <c r="LU265" s="65"/>
      <c r="LV265" s="13"/>
      <c r="LW265" s="14"/>
      <c r="LY265" s="65"/>
      <c r="LZ265" s="13"/>
      <c r="MA265" s="14"/>
      <c r="MC265" s="65"/>
      <c r="MD265" s="13"/>
      <c r="ME265" s="14"/>
      <c r="MG265" s="65"/>
      <c r="MH265" s="13"/>
      <c r="MI265" s="14"/>
      <c r="MK265" s="65"/>
      <c r="ML265" s="13"/>
      <c r="MM265" s="14"/>
      <c r="MO265" s="65"/>
      <c r="MP265" s="13"/>
      <c r="MQ265" s="14"/>
      <c r="MS265" s="65"/>
      <c r="MT265" s="13"/>
      <c r="MU265" s="14"/>
    </row>
    <row r="266" spans="1:359" hidden="1" x14ac:dyDescent="0.25">
      <c r="A266" s="15">
        <f t="shared" ref="A266" si="195">+AH17+AL10</f>
        <v>2920514.5639792765</v>
      </c>
      <c r="B266" s="20">
        <v>42960</v>
      </c>
      <c r="T266" s="15"/>
      <c r="U266" s="20"/>
      <c r="CK266" s="65"/>
      <c r="CL266" s="13"/>
      <c r="CO266" s="65"/>
      <c r="CP266" s="13"/>
      <c r="CS266" s="65"/>
      <c r="CT266" s="13"/>
      <c r="CW266" s="65"/>
      <c r="CX266" s="13"/>
      <c r="DA266" s="65"/>
      <c r="DB266" s="13"/>
      <c r="DE266" s="65"/>
      <c r="DF266" s="13"/>
      <c r="DI266" s="65"/>
      <c r="DJ266" s="13"/>
      <c r="DM266" s="65"/>
      <c r="DN266" s="13"/>
      <c r="DQ266" s="65"/>
      <c r="DR266" s="13"/>
      <c r="DU266" s="65"/>
      <c r="DV266" s="13"/>
      <c r="DY266" s="65"/>
      <c r="DZ266" s="13"/>
      <c r="EA266" s="14"/>
      <c r="EC266" s="65"/>
      <c r="ED266" s="13"/>
      <c r="EE266" s="14"/>
      <c r="EG266" s="65"/>
      <c r="EH266" s="13"/>
      <c r="EI266" s="14"/>
      <c r="EK266" s="65"/>
      <c r="EL266" s="13"/>
      <c r="EM266" s="14"/>
      <c r="EO266" s="65"/>
      <c r="EP266" s="13"/>
      <c r="EQ266" s="14"/>
      <c r="ES266" s="65"/>
      <c r="ET266" s="13"/>
      <c r="EU266" s="14"/>
      <c r="EW266" s="65"/>
      <c r="EX266" s="13"/>
      <c r="EY266" s="14"/>
      <c r="FA266" s="65"/>
      <c r="FB266" s="13"/>
      <c r="FC266" s="14"/>
      <c r="FE266" s="65"/>
      <c r="FF266" s="13"/>
      <c r="FG266" s="14"/>
      <c r="FI266" s="65"/>
      <c r="FJ266" s="13"/>
      <c r="FK266" s="14"/>
      <c r="FM266" s="65"/>
      <c r="FN266" s="13"/>
      <c r="FO266" s="14"/>
      <c r="FQ266" s="65"/>
      <c r="FR266" s="13"/>
      <c r="FS266" s="14"/>
      <c r="FU266" s="65"/>
      <c r="FV266" s="13"/>
      <c r="FW266" s="14"/>
      <c r="FY266" s="65"/>
      <c r="FZ266" s="13"/>
      <c r="GA266" s="14"/>
      <c r="GC266" s="65"/>
      <c r="GD266" s="13"/>
      <c r="GE266" s="14"/>
      <c r="GG266" s="65"/>
      <c r="GH266" s="13"/>
      <c r="GI266" s="14"/>
      <c r="GK266" s="65"/>
      <c r="GL266" s="13"/>
      <c r="GM266" s="14"/>
      <c r="GO266" s="65"/>
      <c r="GP266" s="13"/>
      <c r="GQ266" s="14"/>
      <c r="GS266" s="65"/>
      <c r="GT266" s="13"/>
      <c r="GU266" s="14"/>
      <c r="GW266" s="65"/>
      <c r="GX266" s="13"/>
      <c r="GY266" s="14"/>
      <c r="HA266" s="65"/>
      <c r="HB266" s="13"/>
      <c r="HC266" s="14"/>
      <c r="HE266" s="65"/>
      <c r="HF266" s="13"/>
      <c r="HG266" s="14"/>
      <c r="HI266" s="65"/>
      <c r="HJ266" s="13"/>
      <c r="HK266" s="14"/>
      <c r="HM266" s="65"/>
      <c r="HN266" s="13"/>
      <c r="HO266" s="14"/>
      <c r="HQ266" s="65"/>
      <c r="HR266" s="13"/>
      <c r="HS266" s="14"/>
      <c r="HU266" s="65"/>
      <c r="HV266" s="13"/>
      <c r="HW266" s="14"/>
      <c r="HY266" s="65"/>
      <c r="HZ266" s="13"/>
      <c r="IA266" s="14"/>
      <c r="IC266" s="65"/>
      <c r="ID266" s="13"/>
      <c r="IE266" s="14"/>
      <c r="IG266" s="65"/>
      <c r="IH266" s="13"/>
      <c r="II266" s="14"/>
      <c r="IK266" s="65"/>
      <c r="IL266" s="13"/>
      <c r="IM266" s="14"/>
      <c r="IO266" s="65"/>
      <c r="IP266" s="13"/>
      <c r="IQ266" s="14"/>
      <c r="IS266" s="65"/>
      <c r="IT266" s="13"/>
      <c r="IU266" s="14"/>
      <c r="IW266" s="65"/>
      <c r="IX266" s="13"/>
      <c r="IY266" s="14"/>
      <c r="JA266" s="65"/>
      <c r="JB266" s="13"/>
      <c r="JC266" s="14"/>
      <c r="JE266" s="65"/>
      <c r="JF266" s="13"/>
      <c r="JG266" s="14"/>
      <c r="JI266" s="65"/>
      <c r="JJ266" s="13"/>
      <c r="JK266" s="14"/>
      <c r="JM266" s="65"/>
      <c r="JN266" s="13"/>
      <c r="JO266" s="14"/>
      <c r="JQ266" s="65"/>
      <c r="JR266" s="13"/>
      <c r="JS266" s="14"/>
      <c r="JU266" s="65"/>
      <c r="JV266" s="13"/>
      <c r="JW266" s="14"/>
      <c r="JY266" s="65"/>
      <c r="JZ266" s="13"/>
      <c r="KA266" s="14"/>
      <c r="KC266" s="65"/>
      <c r="KD266" s="13"/>
      <c r="KE266" s="14"/>
      <c r="KG266" s="65"/>
      <c r="KH266" s="13"/>
      <c r="KI266" s="14"/>
      <c r="KK266" s="65"/>
      <c r="KL266" s="13"/>
      <c r="KM266" s="14"/>
      <c r="KO266" s="65"/>
      <c r="KP266" s="13"/>
      <c r="KQ266" s="14"/>
      <c r="KS266" s="65"/>
      <c r="KT266" s="13"/>
      <c r="KU266" s="14"/>
      <c r="KW266" s="65"/>
      <c r="KX266" s="13"/>
      <c r="KY266" s="14"/>
      <c r="LA266" s="65"/>
      <c r="LB266" s="13"/>
      <c r="LC266" s="14"/>
      <c r="LE266" s="65"/>
      <c r="LF266" s="13"/>
      <c r="LG266" s="14"/>
      <c r="LI266" s="65"/>
      <c r="LJ266" s="13"/>
      <c r="LK266" s="14"/>
      <c r="LM266" s="65"/>
      <c r="LN266" s="13"/>
      <c r="LO266" s="14"/>
      <c r="LQ266" s="65"/>
      <c r="LR266" s="13"/>
      <c r="LS266" s="14"/>
      <c r="LU266" s="65"/>
      <c r="LV266" s="13"/>
      <c r="LW266" s="14"/>
      <c r="LY266" s="65"/>
      <c r="LZ266" s="13"/>
      <c r="MA266" s="14"/>
      <c r="MC266" s="65"/>
      <c r="MD266" s="13"/>
      <c r="ME266" s="14"/>
      <c r="MG266" s="65"/>
      <c r="MH266" s="13"/>
      <c r="MI266" s="14"/>
      <c r="MK266" s="65"/>
      <c r="ML266" s="13"/>
      <c r="MM266" s="14"/>
      <c r="MO266" s="65"/>
      <c r="MP266" s="13"/>
      <c r="MQ266" s="14"/>
      <c r="MS266" s="65"/>
      <c r="MT266" s="13"/>
      <c r="MU266" s="14"/>
    </row>
    <row r="267" spans="1:359" hidden="1" x14ac:dyDescent="0.25">
      <c r="A267" s="15">
        <f>+AH18+AL11+AP8+AT8</f>
        <v>7802591.0617052205</v>
      </c>
      <c r="B267" s="20">
        <v>42961</v>
      </c>
      <c r="T267" s="15"/>
      <c r="U267" s="20"/>
      <c r="CK267" s="65"/>
      <c r="CL267" s="13"/>
      <c r="CO267" s="65"/>
      <c r="CP267" s="13"/>
      <c r="CS267" s="65"/>
      <c r="CT267" s="13"/>
      <c r="CW267" s="65"/>
      <c r="CX267" s="13"/>
      <c r="DA267" s="65"/>
      <c r="DB267" s="13"/>
      <c r="DE267" s="65"/>
      <c r="DF267" s="13"/>
      <c r="DI267" s="65"/>
      <c r="DJ267" s="13"/>
      <c r="DM267" s="65"/>
      <c r="DN267" s="13"/>
      <c r="DQ267" s="65"/>
      <c r="DR267" s="13"/>
      <c r="DU267" s="65"/>
      <c r="DV267" s="13"/>
      <c r="DY267" s="65"/>
      <c r="DZ267" s="13"/>
      <c r="EA267" s="14"/>
      <c r="EC267" s="65"/>
      <c r="ED267" s="13"/>
      <c r="EE267" s="14"/>
      <c r="EG267" s="65"/>
      <c r="EH267" s="13"/>
      <c r="EI267" s="14"/>
      <c r="EK267" s="65"/>
      <c r="EL267" s="13"/>
      <c r="EM267" s="14"/>
      <c r="EO267" s="65"/>
      <c r="EP267" s="13"/>
      <c r="EQ267" s="14"/>
      <c r="ES267" s="65"/>
      <c r="ET267" s="13"/>
      <c r="EU267" s="14"/>
      <c r="EW267" s="65"/>
      <c r="EX267" s="13"/>
      <c r="EY267" s="14"/>
      <c r="FA267" s="65"/>
      <c r="FB267" s="13"/>
      <c r="FC267" s="14"/>
      <c r="FE267" s="65"/>
      <c r="FF267" s="13"/>
      <c r="FG267" s="14"/>
      <c r="FI267" s="65"/>
      <c r="FJ267" s="13"/>
      <c r="FK267" s="14"/>
      <c r="FM267" s="65"/>
      <c r="FN267" s="13"/>
      <c r="FO267" s="14"/>
      <c r="FQ267" s="65"/>
      <c r="FR267" s="13"/>
      <c r="FS267" s="14"/>
      <c r="FU267" s="65"/>
      <c r="FV267" s="13"/>
      <c r="FW267" s="14"/>
      <c r="FY267" s="65"/>
      <c r="FZ267" s="13"/>
      <c r="GA267" s="14"/>
      <c r="GC267" s="65"/>
      <c r="GD267" s="13"/>
      <c r="GE267" s="14"/>
      <c r="GG267" s="65"/>
      <c r="GH267" s="13"/>
      <c r="GI267" s="14"/>
      <c r="GK267" s="65"/>
      <c r="GL267" s="13"/>
      <c r="GM267" s="14"/>
      <c r="GO267" s="65"/>
      <c r="GP267" s="13"/>
      <c r="GQ267" s="14"/>
      <c r="GS267" s="65"/>
      <c r="GT267" s="13"/>
      <c r="GU267" s="14"/>
      <c r="GW267" s="65"/>
      <c r="GX267" s="13"/>
      <c r="GY267" s="14"/>
      <c r="HA267" s="65"/>
      <c r="HB267" s="13"/>
      <c r="HC267" s="14"/>
      <c r="HE267" s="65"/>
      <c r="HF267" s="13"/>
      <c r="HG267" s="14"/>
      <c r="HI267" s="65"/>
      <c r="HJ267" s="13"/>
      <c r="HK267" s="14"/>
      <c r="HM267" s="65"/>
      <c r="HN267" s="13"/>
      <c r="HO267" s="14"/>
      <c r="HQ267" s="65"/>
      <c r="HR267" s="13"/>
      <c r="HS267" s="14"/>
      <c r="HU267" s="65"/>
      <c r="HV267" s="13"/>
      <c r="HW267" s="14"/>
      <c r="HY267" s="65"/>
      <c r="HZ267" s="13"/>
      <c r="IA267" s="14"/>
      <c r="IC267" s="65"/>
      <c r="ID267" s="13"/>
      <c r="IE267" s="14"/>
      <c r="IG267" s="65"/>
      <c r="IH267" s="13"/>
      <c r="II267" s="14"/>
      <c r="IK267" s="65"/>
      <c r="IL267" s="13"/>
      <c r="IM267" s="14"/>
      <c r="IO267" s="65"/>
      <c r="IP267" s="13"/>
      <c r="IQ267" s="14"/>
      <c r="IS267" s="65"/>
      <c r="IT267" s="13"/>
      <c r="IU267" s="14"/>
      <c r="IW267" s="65"/>
      <c r="IX267" s="13"/>
      <c r="IY267" s="14"/>
      <c r="JA267" s="65"/>
      <c r="JB267" s="13"/>
      <c r="JC267" s="14"/>
      <c r="JE267" s="65"/>
      <c r="JF267" s="13"/>
      <c r="JG267" s="14"/>
      <c r="JI267" s="65"/>
      <c r="JJ267" s="13"/>
      <c r="JK267" s="14"/>
      <c r="JM267" s="65"/>
      <c r="JN267" s="13"/>
      <c r="JO267" s="14"/>
      <c r="JQ267" s="65"/>
      <c r="JR267" s="13"/>
      <c r="JS267" s="14"/>
      <c r="JU267" s="65"/>
      <c r="JV267" s="13"/>
      <c r="JW267" s="14"/>
      <c r="JY267" s="65"/>
      <c r="JZ267" s="13"/>
      <c r="KA267" s="14"/>
      <c r="KC267" s="65"/>
      <c r="KD267" s="13"/>
      <c r="KE267" s="14"/>
      <c r="KG267" s="65"/>
      <c r="KH267" s="13"/>
      <c r="KI267" s="14"/>
      <c r="KK267" s="65"/>
      <c r="KL267" s="13"/>
      <c r="KM267" s="14"/>
      <c r="KO267" s="65"/>
      <c r="KP267" s="13"/>
      <c r="KQ267" s="14"/>
      <c r="KS267" s="65"/>
      <c r="KT267" s="13"/>
      <c r="KU267" s="14"/>
      <c r="KW267" s="65"/>
      <c r="KX267" s="13"/>
      <c r="KY267" s="14"/>
      <c r="LA267" s="65"/>
      <c r="LB267" s="13"/>
      <c r="LC267" s="14"/>
      <c r="LE267" s="65"/>
      <c r="LF267" s="13"/>
      <c r="LG267" s="14"/>
      <c r="LI267" s="65"/>
      <c r="LJ267" s="13"/>
      <c r="LK267" s="14"/>
      <c r="LM267" s="65"/>
      <c r="LN267" s="13"/>
      <c r="LO267" s="14"/>
      <c r="LQ267" s="65"/>
      <c r="LR267" s="13"/>
      <c r="LS267" s="14"/>
      <c r="LU267" s="65"/>
      <c r="LV267" s="13"/>
      <c r="LW267" s="14"/>
      <c r="LY267" s="65"/>
      <c r="LZ267" s="13"/>
      <c r="MA267" s="14"/>
      <c r="MC267" s="65"/>
      <c r="MD267" s="13"/>
      <c r="ME267" s="14"/>
      <c r="MG267" s="65"/>
      <c r="MH267" s="13"/>
      <c r="MI267" s="14"/>
      <c r="MK267" s="65"/>
      <c r="ML267" s="13"/>
      <c r="MM267" s="14"/>
      <c r="MO267" s="65"/>
      <c r="MP267" s="13"/>
      <c r="MQ267" s="14"/>
      <c r="MS267" s="65"/>
      <c r="MT267" s="13"/>
      <c r="MU267" s="14"/>
    </row>
    <row r="268" spans="1:359" hidden="1" x14ac:dyDescent="0.25">
      <c r="A268" s="15">
        <f t="shared" ref="A268" si="196">+AH19+AL12+AP9+AT9</f>
        <v>7803011.9095347449</v>
      </c>
      <c r="B268" s="20">
        <v>42962</v>
      </c>
      <c r="T268" s="15"/>
      <c r="U268" s="20"/>
      <c r="CK268" s="65"/>
      <c r="CL268" s="13"/>
      <c r="CO268" s="65"/>
      <c r="CP268" s="13"/>
      <c r="CS268" s="65"/>
      <c r="CT268" s="13"/>
      <c r="CW268" s="65"/>
      <c r="CX268" s="13"/>
      <c r="DA268" s="65"/>
      <c r="DB268" s="13"/>
      <c r="DE268" s="65"/>
      <c r="DF268" s="13"/>
      <c r="DI268" s="65"/>
      <c r="DJ268" s="13"/>
      <c r="DM268" s="65"/>
      <c r="DN268" s="13"/>
      <c r="DQ268" s="65"/>
      <c r="DR268" s="13"/>
      <c r="DU268" s="65"/>
      <c r="DV268" s="13"/>
      <c r="DY268" s="65"/>
      <c r="DZ268" s="13"/>
      <c r="EA268" s="14"/>
      <c r="EC268" s="65"/>
      <c r="ED268" s="13"/>
      <c r="EE268" s="14"/>
      <c r="EG268" s="65"/>
      <c r="EH268" s="13"/>
      <c r="EI268" s="14"/>
      <c r="EK268" s="65"/>
      <c r="EL268" s="13"/>
      <c r="EM268" s="14"/>
      <c r="EO268" s="65"/>
      <c r="EP268" s="13"/>
      <c r="EQ268" s="14"/>
      <c r="ES268" s="65"/>
      <c r="ET268" s="13"/>
      <c r="EU268" s="14"/>
      <c r="EW268" s="65"/>
      <c r="EX268" s="13"/>
      <c r="EY268" s="14"/>
      <c r="FA268" s="65"/>
      <c r="FB268" s="13"/>
      <c r="FC268" s="14"/>
      <c r="FE268" s="65"/>
      <c r="FF268" s="13"/>
      <c r="FG268" s="14"/>
      <c r="FI268" s="65"/>
      <c r="FJ268" s="13"/>
      <c r="FK268" s="14"/>
      <c r="FM268" s="65"/>
      <c r="FN268" s="13"/>
      <c r="FO268" s="14"/>
      <c r="FQ268" s="65"/>
      <c r="FR268" s="13"/>
      <c r="FS268" s="14"/>
      <c r="FU268" s="65"/>
      <c r="FV268" s="13"/>
      <c r="FW268" s="14"/>
      <c r="FY268" s="65"/>
      <c r="FZ268" s="13"/>
      <c r="GA268" s="14"/>
      <c r="GC268" s="65"/>
      <c r="GD268" s="13"/>
      <c r="GE268" s="14"/>
      <c r="GG268" s="65"/>
      <c r="GH268" s="13"/>
      <c r="GI268" s="14"/>
      <c r="GK268" s="65"/>
      <c r="GL268" s="13"/>
      <c r="GM268" s="14"/>
      <c r="GO268" s="65"/>
      <c r="GP268" s="13"/>
      <c r="GQ268" s="14"/>
      <c r="GS268" s="65"/>
      <c r="GT268" s="13"/>
      <c r="GU268" s="14"/>
      <c r="GW268" s="65"/>
      <c r="GX268" s="13"/>
      <c r="GY268" s="14"/>
      <c r="HA268" s="65"/>
      <c r="HB268" s="13"/>
      <c r="HC268" s="14"/>
      <c r="HE268" s="65"/>
      <c r="HF268" s="13"/>
      <c r="HG268" s="14"/>
      <c r="HI268" s="65"/>
      <c r="HJ268" s="13"/>
      <c r="HK268" s="14"/>
      <c r="HM268" s="65"/>
      <c r="HN268" s="13"/>
      <c r="HO268" s="14"/>
      <c r="HQ268" s="65"/>
      <c r="HR268" s="13"/>
      <c r="HS268" s="14"/>
      <c r="HU268" s="65"/>
      <c r="HV268" s="13"/>
      <c r="HW268" s="14"/>
      <c r="HY268" s="65"/>
      <c r="HZ268" s="13"/>
      <c r="IA268" s="14"/>
      <c r="IC268" s="65"/>
      <c r="ID268" s="13"/>
      <c r="IE268" s="14"/>
      <c r="IG268" s="65"/>
      <c r="IH268" s="13"/>
      <c r="II268" s="14"/>
      <c r="IK268" s="65"/>
      <c r="IL268" s="13"/>
      <c r="IM268" s="14"/>
      <c r="IO268" s="65"/>
      <c r="IP268" s="13"/>
      <c r="IQ268" s="14"/>
      <c r="IS268" s="65"/>
      <c r="IT268" s="13"/>
      <c r="IU268" s="14"/>
      <c r="IW268" s="65"/>
      <c r="IX268" s="13"/>
      <c r="IY268" s="14"/>
      <c r="JA268" s="65"/>
      <c r="JB268" s="13"/>
      <c r="JC268" s="14"/>
      <c r="JE268" s="65"/>
      <c r="JF268" s="13"/>
      <c r="JG268" s="14"/>
      <c r="JI268" s="65"/>
      <c r="JJ268" s="13"/>
      <c r="JK268" s="14"/>
      <c r="JM268" s="65"/>
      <c r="JN268" s="13"/>
      <c r="JO268" s="14"/>
      <c r="JQ268" s="65"/>
      <c r="JR268" s="13"/>
      <c r="JS268" s="14"/>
      <c r="JU268" s="65"/>
      <c r="JV268" s="13"/>
      <c r="JW268" s="14"/>
      <c r="JY268" s="65"/>
      <c r="JZ268" s="13"/>
      <c r="KA268" s="14"/>
      <c r="KC268" s="65"/>
      <c r="KD268" s="13"/>
      <c r="KE268" s="14"/>
      <c r="KG268" s="65"/>
      <c r="KH268" s="13"/>
      <c r="KI268" s="14"/>
      <c r="KK268" s="65"/>
      <c r="KL268" s="13"/>
      <c r="KM268" s="14"/>
      <c r="KO268" s="65"/>
      <c r="KP268" s="13"/>
      <c r="KQ268" s="14"/>
      <c r="KS268" s="65"/>
      <c r="KT268" s="13"/>
      <c r="KU268" s="14"/>
      <c r="KW268" s="65"/>
      <c r="KX268" s="13"/>
      <c r="KY268" s="14"/>
      <c r="LA268" s="65"/>
      <c r="LB268" s="13"/>
      <c r="LC268" s="14"/>
      <c r="LE268" s="65"/>
      <c r="LF268" s="13"/>
      <c r="LG268" s="14"/>
      <c r="LI268" s="65"/>
      <c r="LJ268" s="13"/>
      <c r="LK268" s="14"/>
      <c r="LM268" s="65"/>
      <c r="LN268" s="13"/>
      <c r="LO268" s="14"/>
      <c r="LQ268" s="65"/>
      <c r="LR268" s="13"/>
      <c r="LS268" s="14"/>
      <c r="LU268" s="65"/>
      <c r="LV268" s="13"/>
      <c r="LW268" s="14"/>
      <c r="LY268" s="65"/>
      <c r="LZ268" s="13"/>
      <c r="MA268" s="14"/>
      <c r="MC268" s="65"/>
      <c r="MD268" s="13"/>
      <c r="ME268" s="14"/>
      <c r="MG268" s="65"/>
      <c r="MH268" s="13"/>
      <c r="MI268" s="14"/>
      <c r="MK268" s="65"/>
      <c r="ML268" s="13"/>
      <c r="MM268" s="14"/>
      <c r="MO268" s="65"/>
      <c r="MP268" s="13"/>
      <c r="MQ268" s="14"/>
      <c r="MS268" s="65"/>
      <c r="MT268" s="13"/>
      <c r="MU268" s="14"/>
    </row>
    <row r="269" spans="1:359" hidden="1" x14ac:dyDescent="0.25">
      <c r="A269" s="15">
        <f>+AH20+AL13+AP10+AT10+AX8+BB8</f>
        <v>9117383.2729202993</v>
      </c>
      <c r="B269" s="20">
        <v>42963</v>
      </c>
      <c r="T269" s="15"/>
      <c r="U269" s="20"/>
      <c r="CK269" s="65"/>
      <c r="CL269" s="13"/>
      <c r="CO269" s="65"/>
      <c r="CP269" s="13"/>
      <c r="CS269" s="65"/>
      <c r="CT269" s="13"/>
      <c r="CW269" s="65"/>
      <c r="CX269" s="13"/>
      <c r="DA269" s="65"/>
      <c r="DB269" s="13"/>
      <c r="DE269" s="65"/>
      <c r="DF269" s="13"/>
      <c r="DI269" s="65"/>
      <c r="DJ269" s="13"/>
      <c r="DM269" s="65"/>
      <c r="DN269" s="13"/>
      <c r="DQ269" s="65"/>
      <c r="DR269" s="13"/>
      <c r="DU269" s="65"/>
      <c r="DV269" s="13"/>
      <c r="DY269" s="65"/>
      <c r="DZ269" s="13"/>
      <c r="EA269" s="14"/>
      <c r="EC269" s="65"/>
      <c r="ED269" s="13"/>
      <c r="EE269" s="14"/>
      <c r="EG269" s="65"/>
      <c r="EH269" s="13"/>
      <c r="EI269" s="14"/>
      <c r="EK269" s="65"/>
      <c r="EL269" s="13"/>
      <c r="EM269" s="14"/>
      <c r="EO269" s="65"/>
      <c r="EP269" s="13"/>
      <c r="EQ269" s="14"/>
      <c r="ES269" s="65"/>
      <c r="ET269" s="13"/>
      <c r="EU269" s="14"/>
      <c r="EW269" s="65"/>
      <c r="EX269" s="13"/>
      <c r="EY269" s="14"/>
      <c r="FA269" s="65"/>
      <c r="FB269" s="13"/>
      <c r="FC269" s="14"/>
      <c r="FE269" s="65"/>
      <c r="FF269" s="13"/>
      <c r="FG269" s="14"/>
      <c r="FI269" s="65"/>
      <c r="FJ269" s="13"/>
      <c r="FK269" s="14"/>
      <c r="FM269" s="65"/>
      <c r="FN269" s="13"/>
      <c r="FO269" s="14"/>
      <c r="FQ269" s="65"/>
      <c r="FR269" s="13"/>
      <c r="FS269" s="14"/>
      <c r="FU269" s="65"/>
      <c r="FV269" s="13"/>
      <c r="FW269" s="14"/>
      <c r="FY269" s="65"/>
      <c r="FZ269" s="13"/>
      <c r="GA269" s="14"/>
      <c r="GC269" s="65"/>
      <c r="GD269" s="13"/>
      <c r="GE269" s="14"/>
      <c r="GG269" s="65"/>
      <c r="GH269" s="13"/>
      <c r="GI269" s="14"/>
      <c r="GK269" s="65"/>
      <c r="GL269" s="13"/>
      <c r="GM269" s="14"/>
      <c r="GO269" s="65"/>
      <c r="GP269" s="13"/>
      <c r="GQ269" s="14"/>
      <c r="GS269" s="65"/>
      <c r="GT269" s="13"/>
      <c r="GU269" s="14"/>
      <c r="GW269" s="65"/>
      <c r="GX269" s="13"/>
      <c r="GY269" s="14"/>
      <c r="HA269" s="65"/>
      <c r="HB269" s="13"/>
      <c r="HC269" s="14"/>
      <c r="HE269" s="65"/>
      <c r="HF269" s="13"/>
      <c r="HG269" s="14"/>
      <c r="HI269" s="65"/>
      <c r="HJ269" s="13"/>
      <c r="HK269" s="14"/>
      <c r="HM269" s="65"/>
      <c r="HN269" s="13"/>
      <c r="HO269" s="14"/>
      <c r="HQ269" s="65"/>
      <c r="HR269" s="13"/>
      <c r="HS269" s="14"/>
      <c r="HU269" s="65"/>
      <c r="HV269" s="13"/>
      <c r="HW269" s="14"/>
      <c r="HY269" s="65"/>
      <c r="HZ269" s="13"/>
      <c r="IA269" s="14"/>
      <c r="IC269" s="65"/>
      <c r="ID269" s="13"/>
      <c r="IE269" s="14"/>
      <c r="IG269" s="65"/>
      <c r="IH269" s="13"/>
      <c r="II269" s="14"/>
      <c r="IK269" s="65"/>
      <c r="IL269" s="13"/>
      <c r="IM269" s="14"/>
      <c r="IO269" s="65"/>
      <c r="IP269" s="13"/>
      <c r="IQ269" s="14"/>
      <c r="IS269" s="65"/>
      <c r="IT269" s="13"/>
      <c r="IU269" s="14"/>
      <c r="IW269" s="65"/>
      <c r="IX269" s="13"/>
      <c r="IY269" s="14"/>
      <c r="JA269" s="65"/>
      <c r="JB269" s="13"/>
      <c r="JC269" s="14"/>
      <c r="JE269" s="65"/>
      <c r="JF269" s="13"/>
      <c r="JG269" s="14"/>
      <c r="JI269" s="65"/>
      <c r="JJ269" s="13"/>
      <c r="JK269" s="14"/>
      <c r="JM269" s="65"/>
      <c r="JN269" s="13"/>
      <c r="JO269" s="14"/>
      <c r="JQ269" s="65"/>
      <c r="JR269" s="13"/>
      <c r="JS269" s="14"/>
      <c r="JU269" s="65"/>
      <c r="JV269" s="13"/>
      <c r="JW269" s="14"/>
      <c r="JY269" s="65"/>
      <c r="JZ269" s="13"/>
      <c r="KA269" s="14"/>
      <c r="KC269" s="65"/>
      <c r="KD269" s="13"/>
      <c r="KE269" s="14"/>
      <c r="KG269" s="65"/>
      <c r="KH269" s="13"/>
      <c r="KI269" s="14"/>
      <c r="KK269" s="65"/>
      <c r="KL269" s="13"/>
      <c r="KM269" s="14"/>
      <c r="KO269" s="65"/>
      <c r="KP269" s="13"/>
      <c r="KQ269" s="14"/>
      <c r="KS269" s="65"/>
      <c r="KT269" s="13"/>
      <c r="KU269" s="14"/>
      <c r="KW269" s="65"/>
      <c r="KX269" s="13"/>
      <c r="KY269" s="14"/>
      <c r="LA269" s="65"/>
      <c r="LB269" s="13"/>
      <c r="LC269" s="14"/>
      <c r="LE269" s="65"/>
      <c r="LF269" s="13"/>
      <c r="LG269" s="14"/>
      <c r="LI269" s="65"/>
      <c r="LJ269" s="13"/>
      <c r="LK269" s="14"/>
      <c r="LM269" s="65"/>
      <c r="LN269" s="13"/>
      <c r="LO269" s="14"/>
      <c r="LQ269" s="65"/>
      <c r="LR269" s="13"/>
      <c r="LS269" s="14"/>
      <c r="LU269" s="65"/>
      <c r="LV269" s="13"/>
      <c r="LW269" s="14"/>
      <c r="LY269" s="65"/>
      <c r="LZ269" s="13"/>
      <c r="MA269" s="14"/>
      <c r="MC269" s="65"/>
      <c r="MD269" s="13"/>
      <c r="ME269" s="14"/>
      <c r="MG269" s="65"/>
      <c r="MH269" s="13"/>
      <c r="MI269" s="14"/>
      <c r="MK269" s="65"/>
      <c r="ML269" s="13"/>
      <c r="MM269" s="14"/>
      <c r="MO269" s="65"/>
      <c r="MP269" s="13"/>
      <c r="MQ269" s="14"/>
      <c r="MS269" s="65"/>
      <c r="MT269" s="13"/>
      <c r="MU269" s="14"/>
    </row>
    <row r="270" spans="1:359" hidden="1" x14ac:dyDescent="0.25">
      <c r="A270" s="15">
        <f>+AH21+AL14+AP11+AT11+AX9+BB9+BF8</f>
        <v>10509756.519983292</v>
      </c>
      <c r="B270" s="20">
        <v>42964</v>
      </c>
      <c r="T270" s="15"/>
      <c r="U270" s="20"/>
      <c r="CK270" s="65"/>
      <c r="CL270" s="13"/>
      <c r="CO270" s="65"/>
      <c r="CP270" s="13"/>
      <c r="CS270" s="65"/>
      <c r="CT270" s="13"/>
      <c r="CW270" s="65"/>
      <c r="CX270" s="13"/>
      <c r="DA270" s="65"/>
      <c r="DB270" s="13"/>
      <c r="DE270" s="65"/>
      <c r="DF270" s="13"/>
      <c r="DI270" s="65"/>
      <c r="DJ270" s="13"/>
      <c r="DM270" s="65"/>
      <c r="DN270" s="13"/>
      <c r="DQ270" s="65"/>
      <c r="DR270" s="13"/>
      <c r="DU270" s="65"/>
      <c r="DV270" s="13"/>
      <c r="DY270" s="65"/>
      <c r="DZ270" s="13"/>
      <c r="EA270" s="14"/>
      <c r="EC270" s="65"/>
      <c r="ED270" s="13"/>
      <c r="EE270" s="14"/>
      <c r="EG270" s="65"/>
      <c r="EH270" s="13"/>
      <c r="EI270" s="14"/>
      <c r="EK270" s="65"/>
      <c r="EL270" s="13"/>
      <c r="EM270" s="14"/>
      <c r="EO270" s="65"/>
      <c r="EP270" s="13"/>
      <c r="EQ270" s="14"/>
      <c r="ES270" s="65"/>
      <c r="ET270" s="13"/>
      <c r="EU270" s="14"/>
      <c r="EW270" s="65"/>
      <c r="EX270" s="13"/>
      <c r="EY270" s="14"/>
      <c r="FA270" s="65"/>
      <c r="FB270" s="13"/>
      <c r="FC270" s="14"/>
      <c r="FE270" s="65"/>
      <c r="FF270" s="13"/>
      <c r="FG270" s="14"/>
      <c r="FI270" s="65"/>
      <c r="FJ270" s="13"/>
      <c r="FK270" s="14"/>
      <c r="FM270" s="65"/>
      <c r="FN270" s="13"/>
      <c r="FO270" s="14"/>
      <c r="FQ270" s="65"/>
      <c r="FR270" s="13"/>
      <c r="FS270" s="14"/>
      <c r="FU270" s="65"/>
      <c r="FV270" s="13"/>
      <c r="FW270" s="14"/>
      <c r="FY270" s="65"/>
      <c r="FZ270" s="13"/>
      <c r="GA270" s="14"/>
      <c r="GC270" s="65"/>
      <c r="GD270" s="13"/>
      <c r="GE270" s="14"/>
      <c r="GG270" s="65"/>
      <c r="GH270" s="13"/>
      <c r="GI270" s="14"/>
      <c r="GK270" s="65"/>
      <c r="GL270" s="13"/>
      <c r="GM270" s="14"/>
      <c r="GO270" s="65"/>
      <c r="GP270" s="13"/>
      <c r="GQ270" s="14"/>
      <c r="GS270" s="65"/>
      <c r="GT270" s="13"/>
      <c r="GU270" s="14"/>
      <c r="GW270" s="65"/>
      <c r="GX270" s="13"/>
      <c r="GY270" s="14"/>
      <c r="HA270" s="65"/>
      <c r="HB270" s="13"/>
      <c r="HC270" s="14"/>
      <c r="HE270" s="65"/>
      <c r="HF270" s="13"/>
      <c r="HG270" s="14"/>
      <c r="HI270" s="65"/>
      <c r="HJ270" s="13"/>
      <c r="HK270" s="14"/>
      <c r="HM270" s="65"/>
      <c r="HN270" s="13"/>
      <c r="HO270" s="14"/>
      <c r="HQ270" s="65"/>
      <c r="HR270" s="13"/>
      <c r="HS270" s="14"/>
      <c r="HU270" s="65"/>
      <c r="HV270" s="13"/>
      <c r="HW270" s="14"/>
      <c r="HY270" s="65"/>
      <c r="HZ270" s="13"/>
      <c r="IA270" s="14"/>
      <c r="IC270" s="65"/>
      <c r="ID270" s="13"/>
      <c r="IE270" s="14"/>
      <c r="IG270" s="65"/>
      <c r="IH270" s="13"/>
      <c r="II270" s="14"/>
      <c r="IK270" s="65"/>
      <c r="IL270" s="13"/>
      <c r="IM270" s="14"/>
      <c r="IO270" s="65"/>
      <c r="IP270" s="13"/>
      <c r="IQ270" s="14"/>
      <c r="IS270" s="65"/>
      <c r="IT270" s="13"/>
      <c r="IU270" s="14"/>
      <c r="IW270" s="65"/>
      <c r="IX270" s="13"/>
      <c r="IY270" s="14"/>
      <c r="JA270" s="65"/>
      <c r="JB270" s="13"/>
      <c r="JC270" s="14"/>
      <c r="JE270" s="65"/>
      <c r="JF270" s="13"/>
      <c r="JG270" s="14"/>
      <c r="JI270" s="65"/>
      <c r="JJ270" s="13"/>
      <c r="JK270" s="14"/>
      <c r="JM270" s="65"/>
      <c r="JN270" s="13"/>
      <c r="JO270" s="14"/>
      <c r="JQ270" s="65"/>
      <c r="JR270" s="13"/>
      <c r="JS270" s="14"/>
      <c r="JU270" s="65"/>
      <c r="JV270" s="13"/>
      <c r="JW270" s="14"/>
      <c r="JY270" s="65"/>
      <c r="JZ270" s="13"/>
      <c r="KA270" s="14"/>
      <c r="KC270" s="65"/>
      <c r="KD270" s="13"/>
      <c r="KE270" s="14"/>
      <c r="KG270" s="65"/>
      <c r="KH270" s="13"/>
      <c r="KI270" s="14"/>
      <c r="KK270" s="65"/>
      <c r="KL270" s="13"/>
      <c r="KM270" s="14"/>
      <c r="KO270" s="65"/>
      <c r="KP270" s="13"/>
      <c r="KQ270" s="14"/>
      <c r="KS270" s="65"/>
      <c r="KT270" s="13"/>
      <c r="KU270" s="14"/>
      <c r="KW270" s="65"/>
      <c r="KX270" s="13"/>
      <c r="KY270" s="14"/>
      <c r="LA270" s="65"/>
      <c r="LB270" s="13"/>
      <c r="LC270" s="14"/>
      <c r="LE270" s="65"/>
      <c r="LF270" s="13"/>
      <c r="LG270" s="14"/>
      <c r="LI270" s="65"/>
      <c r="LJ270" s="13"/>
      <c r="LK270" s="14"/>
      <c r="LM270" s="65"/>
      <c r="LN270" s="13"/>
      <c r="LO270" s="14"/>
      <c r="LQ270" s="65"/>
      <c r="LR270" s="13"/>
      <c r="LS270" s="14"/>
      <c r="LU270" s="65"/>
      <c r="LV270" s="13"/>
      <c r="LW270" s="14"/>
      <c r="LY270" s="65"/>
      <c r="LZ270" s="13"/>
      <c r="MA270" s="14"/>
      <c r="MC270" s="65"/>
      <c r="MD270" s="13"/>
      <c r="ME270" s="14"/>
      <c r="MG270" s="65"/>
      <c r="MH270" s="13"/>
      <c r="MI270" s="14"/>
      <c r="MK270" s="65"/>
      <c r="ML270" s="13"/>
      <c r="MM270" s="14"/>
      <c r="MO270" s="65"/>
      <c r="MP270" s="13"/>
      <c r="MQ270" s="14"/>
      <c r="MS270" s="65"/>
      <c r="MT270" s="13"/>
      <c r="MU270" s="14"/>
    </row>
    <row r="271" spans="1:359" hidden="1" x14ac:dyDescent="0.25">
      <c r="A271" s="15">
        <f t="shared" ref="A271:A273" si="197">+AH22+AL15+AP12+AT12+AX10+BB10+BF9</f>
        <v>10510331.063783675</v>
      </c>
      <c r="B271" s="20">
        <v>42965</v>
      </c>
      <c r="T271" s="15"/>
      <c r="U271" s="20"/>
      <c r="CK271" s="65"/>
      <c r="CL271" s="13"/>
      <c r="CO271" s="65"/>
      <c r="CP271" s="13"/>
      <c r="CS271" s="65"/>
      <c r="CT271" s="13"/>
      <c r="CW271" s="65"/>
      <c r="CX271" s="13"/>
      <c r="DA271" s="65"/>
      <c r="DB271" s="13"/>
      <c r="DE271" s="65"/>
      <c r="DF271" s="13"/>
      <c r="DI271" s="65"/>
      <c r="DJ271" s="13"/>
      <c r="DM271" s="65"/>
      <c r="DN271" s="13"/>
      <c r="DQ271" s="65"/>
      <c r="DR271" s="13"/>
      <c r="DU271" s="65"/>
      <c r="DV271" s="13"/>
      <c r="DY271" s="65"/>
      <c r="DZ271" s="13"/>
      <c r="EA271" s="14"/>
      <c r="EC271" s="65"/>
      <c r="ED271" s="13"/>
      <c r="EE271" s="14"/>
      <c r="EG271" s="65"/>
      <c r="EH271" s="13"/>
      <c r="EI271" s="14"/>
      <c r="EK271" s="65"/>
      <c r="EL271" s="13"/>
      <c r="EM271" s="14"/>
      <c r="EO271" s="65"/>
      <c r="EP271" s="13"/>
      <c r="EQ271" s="14"/>
      <c r="ES271" s="65"/>
      <c r="ET271" s="13"/>
      <c r="EU271" s="14"/>
      <c r="EW271" s="65"/>
      <c r="EX271" s="13"/>
      <c r="EY271" s="14"/>
      <c r="FA271" s="65"/>
      <c r="FB271" s="13"/>
      <c r="FC271" s="14"/>
      <c r="FE271" s="65"/>
      <c r="FF271" s="13"/>
      <c r="FG271" s="14"/>
      <c r="FI271" s="65"/>
      <c r="FJ271" s="13"/>
      <c r="FK271" s="14"/>
      <c r="FM271" s="65"/>
      <c r="FN271" s="13"/>
      <c r="FO271" s="14"/>
      <c r="FQ271" s="65"/>
      <c r="FR271" s="13"/>
      <c r="FS271" s="14"/>
      <c r="FU271" s="65"/>
      <c r="FV271" s="13"/>
      <c r="FW271" s="14"/>
      <c r="FY271" s="65"/>
      <c r="FZ271" s="13"/>
      <c r="GA271" s="14"/>
      <c r="GC271" s="65"/>
      <c r="GD271" s="13"/>
      <c r="GE271" s="14"/>
      <c r="GG271" s="65"/>
      <c r="GH271" s="13"/>
      <c r="GI271" s="14"/>
      <c r="GK271" s="65"/>
      <c r="GL271" s="13"/>
      <c r="GM271" s="14"/>
      <c r="GO271" s="65"/>
      <c r="GP271" s="13"/>
      <c r="GQ271" s="14"/>
      <c r="GS271" s="65"/>
      <c r="GT271" s="13"/>
      <c r="GU271" s="14"/>
      <c r="GW271" s="65"/>
      <c r="GX271" s="13"/>
      <c r="GY271" s="14"/>
      <c r="HA271" s="65"/>
      <c r="HB271" s="13"/>
      <c r="HC271" s="14"/>
      <c r="HE271" s="65"/>
      <c r="HF271" s="13"/>
      <c r="HG271" s="14"/>
      <c r="HI271" s="65"/>
      <c r="HJ271" s="13"/>
      <c r="HK271" s="14"/>
      <c r="HM271" s="65"/>
      <c r="HN271" s="13"/>
      <c r="HO271" s="14"/>
      <c r="HQ271" s="65"/>
      <c r="HR271" s="13"/>
      <c r="HS271" s="14"/>
      <c r="HU271" s="65"/>
      <c r="HV271" s="13"/>
      <c r="HW271" s="14"/>
      <c r="HY271" s="65"/>
      <c r="HZ271" s="13"/>
      <c r="IA271" s="14"/>
      <c r="IC271" s="65"/>
      <c r="ID271" s="13"/>
      <c r="IE271" s="14"/>
      <c r="IG271" s="65"/>
      <c r="IH271" s="13"/>
      <c r="II271" s="14"/>
      <c r="IK271" s="65"/>
      <c r="IL271" s="13"/>
      <c r="IM271" s="14"/>
      <c r="IO271" s="65"/>
      <c r="IP271" s="13"/>
      <c r="IQ271" s="14"/>
      <c r="IS271" s="65"/>
      <c r="IT271" s="13"/>
      <c r="IU271" s="14"/>
      <c r="IW271" s="65"/>
      <c r="IX271" s="13"/>
      <c r="IY271" s="14"/>
      <c r="JA271" s="65"/>
      <c r="JB271" s="13"/>
      <c r="JC271" s="14"/>
      <c r="JE271" s="65"/>
      <c r="JF271" s="13"/>
      <c r="JG271" s="14"/>
      <c r="JI271" s="65"/>
      <c r="JJ271" s="13"/>
      <c r="JK271" s="14"/>
      <c r="JM271" s="65"/>
      <c r="JN271" s="13"/>
      <c r="JO271" s="14"/>
      <c r="JQ271" s="65"/>
      <c r="JR271" s="13"/>
      <c r="JS271" s="14"/>
      <c r="JU271" s="65"/>
      <c r="JV271" s="13"/>
      <c r="JW271" s="14"/>
      <c r="JY271" s="65"/>
      <c r="JZ271" s="13"/>
      <c r="KA271" s="14"/>
      <c r="KC271" s="65"/>
      <c r="KD271" s="13"/>
      <c r="KE271" s="14"/>
      <c r="KG271" s="65"/>
      <c r="KH271" s="13"/>
      <c r="KI271" s="14"/>
      <c r="KK271" s="65"/>
      <c r="KL271" s="13"/>
      <c r="KM271" s="14"/>
      <c r="KO271" s="65"/>
      <c r="KP271" s="13"/>
      <c r="KQ271" s="14"/>
      <c r="KS271" s="65"/>
      <c r="KT271" s="13"/>
      <c r="KU271" s="14"/>
      <c r="KW271" s="65"/>
      <c r="KX271" s="13"/>
      <c r="KY271" s="14"/>
      <c r="LA271" s="65"/>
      <c r="LB271" s="13"/>
      <c r="LC271" s="14"/>
      <c r="LE271" s="65"/>
      <c r="LF271" s="13"/>
      <c r="LG271" s="14"/>
      <c r="LI271" s="65"/>
      <c r="LJ271" s="13"/>
      <c r="LK271" s="14"/>
      <c r="LM271" s="65"/>
      <c r="LN271" s="13"/>
      <c r="LO271" s="14"/>
      <c r="LQ271" s="65"/>
      <c r="LR271" s="13"/>
      <c r="LS271" s="14"/>
      <c r="LU271" s="65"/>
      <c r="LV271" s="13"/>
      <c r="LW271" s="14"/>
      <c r="LY271" s="65"/>
      <c r="LZ271" s="13"/>
      <c r="MA271" s="14"/>
      <c r="MC271" s="65"/>
      <c r="MD271" s="13"/>
      <c r="ME271" s="14"/>
      <c r="MG271" s="65"/>
      <c r="MH271" s="13"/>
      <c r="MI271" s="14"/>
      <c r="MK271" s="65"/>
      <c r="ML271" s="13"/>
      <c r="MM271" s="14"/>
      <c r="MO271" s="65"/>
      <c r="MP271" s="13"/>
      <c r="MQ271" s="14"/>
      <c r="MS271" s="65"/>
      <c r="MT271" s="13"/>
      <c r="MU271" s="14"/>
    </row>
    <row r="272" spans="1:359" hidden="1" x14ac:dyDescent="0.25">
      <c r="A272" s="15">
        <f t="shared" si="197"/>
        <v>10510905.670623638</v>
      </c>
      <c r="B272" s="20">
        <v>42966</v>
      </c>
      <c r="T272" s="15"/>
      <c r="U272" s="20"/>
      <c r="CK272" s="65"/>
      <c r="CL272" s="13"/>
      <c r="CO272" s="65"/>
      <c r="CP272" s="13"/>
      <c r="CS272" s="65"/>
      <c r="CT272" s="13"/>
      <c r="CW272" s="65"/>
      <c r="CX272" s="13"/>
      <c r="DA272" s="65"/>
      <c r="DB272" s="13"/>
      <c r="DE272" s="65"/>
      <c r="DF272" s="13"/>
      <c r="DI272" s="65"/>
      <c r="DJ272" s="13"/>
      <c r="DM272" s="65"/>
      <c r="DN272" s="13"/>
      <c r="DQ272" s="65"/>
      <c r="DR272" s="13"/>
      <c r="DU272" s="65"/>
      <c r="DV272" s="13"/>
      <c r="DY272" s="65"/>
      <c r="DZ272" s="13"/>
      <c r="EA272" s="14"/>
      <c r="EC272" s="65"/>
      <c r="ED272" s="13"/>
      <c r="EE272" s="14"/>
      <c r="EG272" s="65"/>
      <c r="EH272" s="13"/>
      <c r="EI272" s="14"/>
      <c r="EK272" s="65"/>
      <c r="EL272" s="13"/>
      <c r="EM272" s="14"/>
      <c r="EO272" s="65"/>
      <c r="EP272" s="13"/>
      <c r="EQ272" s="14"/>
      <c r="ES272" s="65"/>
      <c r="ET272" s="13"/>
      <c r="EU272" s="14"/>
      <c r="EW272" s="65"/>
      <c r="EX272" s="13"/>
      <c r="EY272" s="14"/>
      <c r="FA272" s="65"/>
      <c r="FB272" s="13"/>
      <c r="FC272" s="14"/>
      <c r="FE272" s="65"/>
      <c r="FF272" s="13"/>
      <c r="FG272" s="14"/>
      <c r="FI272" s="65"/>
      <c r="FJ272" s="13"/>
      <c r="FK272" s="14"/>
      <c r="FM272" s="65"/>
      <c r="FN272" s="13"/>
      <c r="FO272" s="14"/>
      <c r="FQ272" s="65"/>
      <c r="FR272" s="13"/>
      <c r="FS272" s="14"/>
      <c r="FU272" s="65"/>
      <c r="FV272" s="13"/>
      <c r="FW272" s="14"/>
      <c r="FY272" s="65"/>
      <c r="FZ272" s="13"/>
      <c r="GA272" s="14"/>
      <c r="GC272" s="65"/>
      <c r="GD272" s="13"/>
      <c r="GE272" s="14"/>
      <c r="GG272" s="65"/>
      <c r="GH272" s="13"/>
      <c r="GI272" s="14"/>
      <c r="GK272" s="65"/>
      <c r="GL272" s="13"/>
      <c r="GM272" s="14"/>
      <c r="GO272" s="65"/>
      <c r="GP272" s="13"/>
      <c r="GQ272" s="14"/>
      <c r="GS272" s="65"/>
      <c r="GT272" s="13"/>
      <c r="GU272" s="14"/>
      <c r="GW272" s="65"/>
      <c r="GX272" s="13"/>
      <c r="GY272" s="14"/>
      <c r="HA272" s="65"/>
      <c r="HB272" s="13"/>
      <c r="HC272" s="14"/>
      <c r="HE272" s="65"/>
      <c r="HF272" s="13"/>
      <c r="HG272" s="14"/>
      <c r="HI272" s="65"/>
      <c r="HJ272" s="13"/>
      <c r="HK272" s="14"/>
      <c r="HM272" s="65"/>
      <c r="HN272" s="13"/>
      <c r="HO272" s="14"/>
      <c r="HQ272" s="65"/>
      <c r="HR272" s="13"/>
      <c r="HS272" s="14"/>
      <c r="HU272" s="65"/>
      <c r="HV272" s="13"/>
      <c r="HW272" s="14"/>
      <c r="HY272" s="65"/>
      <c r="HZ272" s="13"/>
      <c r="IA272" s="14"/>
      <c r="IC272" s="65"/>
      <c r="ID272" s="13"/>
      <c r="IE272" s="14"/>
      <c r="IG272" s="65"/>
      <c r="IH272" s="13"/>
      <c r="II272" s="14"/>
      <c r="IK272" s="65"/>
      <c r="IL272" s="13"/>
      <c r="IM272" s="14"/>
      <c r="IO272" s="65"/>
      <c r="IP272" s="13"/>
      <c r="IQ272" s="14"/>
      <c r="IS272" s="65"/>
      <c r="IT272" s="13"/>
      <c r="IU272" s="14"/>
      <c r="IW272" s="65"/>
      <c r="IX272" s="13"/>
      <c r="IY272" s="14"/>
      <c r="JA272" s="65"/>
      <c r="JB272" s="13"/>
      <c r="JC272" s="14"/>
      <c r="JE272" s="65"/>
      <c r="JF272" s="13"/>
      <c r="JG272" s="14"/>
      <c r="JI272" s="65"/>
      <c r="JJ272" s="13"/>
      <c r="JK272" s="14"/>
      <c r="JM272" s="65"/>
      <c r="JN272" s="13"/>
      <c r="JO272" s="14"/>
      <c r="JQ272" s="65"/>
      <c r="JR272" s="13"/>
      <c r="JS272" s="14"/>
      <c r="JU272" s="65"/>
      <c r="JV272" s="13"/>
      <c r="JW272" s="14"/>
      <c r="JY272" s="65"/>
      <c r="JZ272" s="13"/>
      <c r="KA272" s="14"/>
      <c r="KC272" s="65"/>
      <c r="KD272" s="13"/>
      <c r="KE272" s="14"/>
      <c r="KG272" s="65"/>
      <c r="KH272" s="13"/>
      <c r="KI272" s="14"/>
      <c r="KK272" s="65"/>
      <c r="KL272" s="13"/>
      <c r="KM272" s="14"/>
      <c r="KO272" s="65"/>
      <c r="KP272" s="13"/>
      <c r="KQ272" s="14"/>
      <c r="KS272" s="65"/>
      <c r="KT272" s="13"/>
      <c r="KU272" s="14"/>
      <c r="KW272" s="65"/>
      <c r="KX272" s="13"/>
      <c r="KY272" s="14"/>
      <c r="LA272" s="65"/>
      <c r="LB272" s="13"/>
      <c r="LC272" s="14"/>
      <c r="LE272" s="65"/>
      <c r="LF272" s="13"/>
      <c r="LG272" s="14"/>
      <c r="LI272" s="65"/>
      <c r="LJ272" s="13"/>
      <c r="LK272" s="14"/>
      <c r="LM272" s="65"/>
      <c r="LN272" s="13"/>
      <c r="LO272" s="14"/>
      <c r="LQ272" s="65"/>
      <c r="LR272" s="13"/>
      <c r="LS272" s="14"/>
      <c r="LU272" s="65"/>
      <c r="LV272" s="13"/>
      <c r="LW272" s="14"/>
      <c r="LY272" s="65"/>
      <c r="LZ272" s="13"/>
      <c r="MA272" s="14"/>
      <c r="MC272" s="65"/>
      <c r="MD272" s="13"/>
      <c r="ME272" s="14"/>
      <c r="MG272" s="65"/>
      <c r="MH272" s="13"/>
      <c r="MI272" s="14"/>
      <c r="MK272" s="65"/>
      <c r="ML272" s="13"/>
      <c r="MM272" s="14"/>
      <c r="MO272" s="65"/>
      <c r="MP272" s="13"/>
      <c r="MQ272" s="14"/>
      <c r="MS272" s="65"/>
      <c r="MT272" s="13"/>
      <c r="MU272" s="14"/>
    </row>
    <row r="273" spans="1:359" hidden="1" x14ac:dyDescent="0.25">
      <c r="A273" s="15">
        <f t="shared" si="197"/>
        <v>10511480.340513593</v>
      </c>
      <c r="B273" s="20">
        <v>42967</v>
      </c>
      <c r="T273" s="15"/>
      <c r="U273" s="20"/>
      <c r="CK273" s="65"/>
      <c r="CL273" s="13"/>
      <c r="CO273" s="65"/>
      <c r="CP273" s="13"/>
      <c r="CS273" s="65"/>
      <c r="CT273" s="13"/>
      <c r="CW273" s="65"/>
      <c r="CX273" s="13"/>
      <c r="DA273" s="65"/>
      <c r="DB273" s="13"/>
      <c r="DE273" s="65"/>
      <c r="DF273" s="13"/>
      <c r="DI273" s="65"/>
      <c r="DJ273" s="13"/>
      <c r="DM273" s="65"/>
      <c r="DN273" s="13"/>
      <c r="DQ273" s="65"/>
      <c r="DR273" s="13"/>
      <c r="DU273" s="65"/>
      <c r="DV273" s="13"/>
      <c r="DY273" s="65"/>
      <c r="DZ273" s="13"/>
      <c r="EA273" s="14"/>
      <c r="EC273" s="65"/>
      <c r="ED273" s="13"/>
      <c r="EE273" s="14"/>
      <c r="EG273" s="65"/>
      <c r="EH273" s="13"/>
      <c r="EI273" s="14"/>
      <c r="EK273" s="65"/>
      <c r="EL273" s="13"/>
      <c r="EM273" s="14"/>
      <c r="EO273" s="65"/>
      <c r="EP273" s="13"/>
      <c r="EQ273" s="14"/>
      <c r="ES273" s="65"/>
      <c r="ET273" s="13"/>
      <c r="EU273" s="14"/>
      <c r="EW273" s="65"/>
      <c r="EX273" s="13"/>
      <c r="EY273" s="14"/>
      <c r="FA273" s="65"/>
      <c r="FB273" s="13"/>
      <c r="FC273" s="14"/>
      <c r="FE273" s="65"/>
      <c r="FF273" s="13"/>
      <c r="FG273" s="14"/>
      <c r="FI273" s="65"/>
      <c r="FJ273" s="13"/>
      <c r="FK273" s="14"/>
      <c r="FM273" s="65"/>
      <c r="FN273" s="13"/>
      <c r="FO273" s="14"/>
      <c r="FQ273" s="65"/>
      <c r="FR273" s="13"/>
      <c r="FS273" s="14"/>
      <c r="FU273" s="65"/>
      <c r="FV273" s="13"/>
      <c r="FW273" s="14"/>
      <c r="FY273" s="65"/>
      <c r="FZ273" s="13"/>
      <c r="GA273" s="14"/>
      <c r="GC273" s="65"/>
      <c r="GD273" s="13"/>
      <c r="GE273" s="14"/>
      <c r="GG273" s="65"/>
      <c r="GH273" s="13"/>
      <c r="GI273" s="14"/>
      <c r="GK273" s="65"/>
      <c r="GL273" s="13"/>
      <c r="GM273" s="14"/>
      <c r="GO273" s="65"/>
      <c r="GP273" s="13"/>
      <c r="GQ273" s="14"/>
      <c r="GS273" s="65"/>
      <c r="GT273" s="13"/>
      <c r="GU273" s="14"/>
      <c r="GW273" s="65"/>
      <c r="GX273" s="13"/>
      <c r="GY273" s="14"/>
      <c r="HA273" s="65"/>
      <c r="HB273" s="13"/>
      <c r="HC273" s="14"/>
      <c r="HE273" s="65"/>
      <c r="HF273" s="13"/>
      <c r="HG273" s="14"/>
      <c r="HI273" s="65"/>
      <c r="HJ273" s="13"/>
      <c r="HK273" s="14"/>
      <c r="HM273" s="65"/>
      <c r="HN273" s="13"/>
      <c r="HO273" s="14"/>
      <c r="HQ273" s="65"/>
      <c r="HR273" s="13"/>
      <c r="HS273" s="14"/>
      <c r="HU273" s="65"/>
      <c r="HV273" s="13"/>
      <c r="HW273" s="14"/>
      <c r="HY273" s="65"/>
      <c r="HZ273" s="13"/>
      <c r="IA273" s="14"/>
      <c r="IC273" s="65"/>
      <c r="ID273" s="13"/>
      <c r="IE273" s="14"/>
      <c r="IG273" s="65"/>
      <c r="IH273" s="13"/>
      <c r="II273" s="14"/>
      <c r="IK273" s="65"/>
      <c r="IL273" s="13"/>
      <c r="IM273" s="14"/>
      <c r="IO273" s="65"/>
      <c r="IP273" s="13"/>
      <c r="IQ273" s="14"/>
      <c r="IS273" s="65"/>
      <c r="IT273" s="13"/>
      <c r="IU273" s="14"/>
      <c r="IW273" s="65"/>
      <c r="IX273" s="13"/>
      <c r="IY273" s="14"/>
      <c r="JA273" s="65"/>
      <c r="JB273" s="13"/>
      <c r="JC273" s="14"/>
      <c r="JE273" s="65"/>
      <c r="JF273" s="13"/>
      <c r="JG273" s="14"/>
      <c r="JI273" s="65"/>
      <c r="JJ273" s="13"/>
      <c r="JK273" s="14"/>
      <c r="JM273" s="65"/>
      <c r="JN273" s="13"/>
      <c r="JO273" s="14"/>
      <c r="JQ273" s="65"/>
      <c r="JR273" s="13"/>
      <c r="JS273" s="14"/>
      <c r="JU273" s="65"/>
      <c r="JV273" s="13"/>
      <c r="JW273" s="14"/>
      <c r="JY273" s="65"/>
      <c r="JZ273" s="13"/>
      <c r="KA273" s="14"/>
      <c r="KC273" s="65"/>
      <c r="KD273" s="13"/>
      <c r="KE273" s="14"/>
      <c r="KG273" s="65"/>
      <c r="KH273" s="13"/>
      <c r="KI273" s="14"/>
      <c r="KK273" s="65"/>
      <c r="KL273" s="13"/>
      <c r="KM273" s="14"/>
      <c r="KO273" s="65"/>
      <c r="KP273" s="13"/>
      <c r="KQ273" s="14"/>
      <c r="KS273" s="65"/>
      <c r="KT273" s="13"/>
      <c r="KU273" s="14"/>
      <c r="KW273" s="65"/>
      <c r="KX273" s="13"/>
      <c r="KY273" s="14"/>
      <c r="LA273" s="65"/>
      <c r="LB273" s="13"/>
      <c r="LC273" s="14"/>
      <c r="LE273" s="65"/>
      <c r="LF273" s="13"/>
      <c r="LG273" s="14"/>
      <c r="LI273" s="65"/>
      <c r="LJ273" s="13"/>
      <c r="LK273" s="14"/>
      <c r="LM273" s="65"/>
      <c r="LN273" s="13"/>
      <c r="LO273" s="14"/>
      <c r="LQ273" s="65"/>
      <c r="LR273" s="13"/>
      <c r="LS273" s="14"/>
      <c r="LU273" s="65"/>
      <c r="LV273" s="13"/>
      <c r="LW273" s="14"/>
      <c r="LY273" s="65"/>
      <c r="LZ273" s="13"/>
      <c r="MA273" s="14"/>
      <c r="MC273" s="65"/>
      <c r="MD273" s="13"/>
      <c r="ME273" s="14"/>
      <c r="MG273" s="65"/>
      <c r="MH273" s="13"/>
      <c r="MI273" s="14"/>
      <c r="MK273" s="65"/>
      <c r="ML273" s="13"/>
      <c r="MM273" s="14"/>
      <c r="MO273" s="65"/>
      <c r="MP273" s="13"/>
      <c r="MQ273" s="14"/>
      <c r="MS273" s="65"/>
      <c r="MT273" s="13"/>
      <c r="MU273" s="14"/>
    </row>
    <row r="274" spans="1:359" hidden="1" x14ac:dyDescent="0.25">
      <c r="A274" s="15">
        <f>+AH25+AL18+AP15+AT15+AX13+BB13+BF12+BJ8+BN8</f>
        <v>14862319.133463949</v>
      </c>
      <c r="B274" s="20">
        <v>42968</v>
      </c>
      <c r="T274" s="15"/>
      <c r="U274" s="20"/>
      <c r="CK274" s="65"/>
      <c r="CL274" s="13"/>
      <c r="CO274" s="65"/>
      <c r="CP274" s="13"/>
      <c r="CS274" s="65"/>
      <c r="CT274" s="13"/>
      <c r="CW274" s="65"/>
      <c r="CX274" s="13"/>
      <c r="DA274" s="65"/>
      <c r="DB274" s="13"/>
      <c r="DE274" s="65"/>
      <c r="DF274" s="13"/>
      <c r="DI274" s="65"/>
      <c r="DJ274" s="13"/>
      <c r="DM274" s="65"/>
      <c r="DN274" s="13"/>
      <c r="DQ274" s="65"/>
      <c r="DR274" s="13"/>
      <c r="DU274" s="65"/>
      <c r="DV274" s="13"/>
      <c r="DY274" s="65"/>
      <c r="DZ274" s="13"/>
      <c r="EA274" s="14"/>
      <c r="EC274" s="65"/>
      <c r="ED274" s="13"/>
      <c r="EE274" s="14"/>
      <c r="EG274" s="65"/>
      <c r="EH274" s="13"/>
      <c r="EI274" s="14"/>
      <c r="EK274" s="65"/>
      <c r="EL274" s="13"/>
      <c r="EM274" s="14"/>
      <c r="EO274" s="65"/>
      <c r="EP274" s="13"/>
      <c r="EQ274" s="14"/>
      <c r="ES274" s="65"/>
      <c r="ET274" s="13"/>
      <c r="EU274" s="14"/>
      <c r="EW274" s="65"/>
      <c r="EX274" s="13"/>
      <c r="EY274" s="14"/>
      <c r="FA274" s="65"/>
      <c r="FB274" s="13"/>
      <c r="FC274" s="14"/>
      <c r="FE274" s="65"/>
      <c r="FF274" s="13"/>
      <c r="FG274" s="14"/>
      <c r="FI274" s="65"/>
      <c r="FJ274" s="13"/>
      <c r="FK274" s="14"/>
      <c r="FM274" s="65"/>
      <c r="FN274" s="13"/>
      <c r="FO274" s="14"/>
      <c r="FQ274" s="65"/>
      <c r="FR274" s="13"/>
      <c r="FS274" s="14"/>
      <c r="FU274" s="65"/>
      <c r="FV274" s="13"/>
      <c r="FW274" s="14"/>
      <c r="FY274" s="65"/>
      <c r="FZ274" s="13"/>
      <c r="GA274" s="14"/>
      <c r="GC274" s="65"/>
      <c r="GD274" s="13"/>
      <c r="GE274" s="14"/>
      <c r="GG274" s="65"/>
      <c r="GH274" s="13"/>
      <c r="GI274" s="14"/>
      <c r="GK274" s="65"/>
      <c r="GL274" s="13"/>
      <c r="GM274" s="14"/>
      <c r="GO274" s="65"/>
      <c r="GP274" s="13"/>
      <c r="GQ274" s="14"/>
      <c r="GS274" s="65"/>
      <c r="GT274" s="13"/>
      <c r="GU274" s="14"/>
      <c r="GW274" s="65"/>
      <c r="GX274" s="13"/>
      <c r="GY274" s="14"/>
      <c r="HA274" s="65"/>
      <c r="HB274" s="13"/>
      <c r="HC274" s="14"/>
      <c r="HE274" s="65"/>
      <c r="HF274" s="13"/>
      <c r="HG274" s="14"/>
      <c r="HI274" s="65"/>
      <c r="HJ274" s="13"/>
      <c r="HK274" s="14"/>
      <c r="HM274" s="65"/>
      <c r="HN274" s="13"/>
      <c r="HO274" s="14"/>
      <c r="HQ274" s="65"/>
      <c r="HR274" s="13"/>
      <c r="HS274" s="14"/>
      <c r="HU274" s="65"/>
      <c r="HV274" s="13"/>
      <c r="HW274" s="14"/>
      <c r="HY274" s="65"/>
      <c r="HZ274" s="13"/>
      <c r="IA274" s="14"/>
      <c r="IC274" s="65"/>
      <c r="ID274" s="13"/>
      <c r="IE274" s="14"/>
      <c r="IG274" s="65"/>
      <c r="IH274" s="13"/>
      <c r="II274" s="14"/>
      <c r="IK274" s="65"/>
      <c r="IL274" s="13"/>
      <c r="IM274" s="14"/>
      <c r="IO274" s="65"/>
      <c r="IP274" s="13"/>
      <c r="IQ274" s="14"/>
      <c r="IS274" s="65"/>
      <c r="IT274" s="13"/>
      <c r="IU274" s="14"/>
      <c r="IW274" s="65"/>
      <c r="IX274" s="13"/>
      <c r="IY274" s="14"/>
      <c r="JA274" s="65"/>
      <c r="JB274" s="13"/>
      <c r="JC274" s="14"/>
      <c r="JE274" s="65"/>
      <c r="JF274" s="13"/>
      <c r="JG274" s="14"/>
      <c r="JI274" s="65"/>
      <c r="JJ274" s="13"/>
      <c r="JK274" s="14"/>
      <c r="JM274" s="65"/>
      <c r="JN274" s="13"/>
      <c r="JO274" s="14"/>
      <c r="JQ274" s="65"/>
      <c r="JR274" s="13"/>
      <c r="JS274" s="14"/>
      <c r="JU274" s="65"/>
      <c r="JV274" s="13"/>
      <c r="JW274" s="14"/>
      <c r="JY274" s="65"/>
      <c r="JZ274" s="13"/>
      <c r="KA274" s="14"/>
      <c r="KC274" s="65"/>
      <c r="KD274" s="13"/>
      <c r="KE274" s="14"/>
      <c r="KG274" s="65"/>
      <c r="KH274" s="13"/>
      <c r="KI274" s="14"/>
      <c r="KK274" s="65"/>
      <c r="KL274" s="13"/>
      <c r="KM274" s="14"/>
      <c r="KO274" s="65"/>
      <c r="KP274" s="13"/>
      <c r="KQ274" s="14"/>
      <c r="KS274" s="65"/>
      <c r="KT274" s="13"/>
      <c r="KU274" s="14"/>
      <c r="KW274" s="65"/>
      <c r="KX274" s="13"/>
      <c r="KY274" s="14"/>
      <c r="LA274" s="65"/>
      <c r="LB274" s="13"/>
      <c r="LC274" s="14"/>
      <c r="LE274" s="65"/>
      <c r="LF274" s="13"/>
      <c r="LG274" s="14"/>
      <c r="LI274" s="65"/>
      <c r="LJ274" s="13"/>
      <c r="LK274" s="14"/>
      <c r="LM274" s="65"/>
      <c r="LN274" s="13"/>
      <c r="LO274" s="14"/>
      <c r="LQ274" s="65"/>
      <c r="LR274" s="13"/>
      <c r="LS274" s="14"/>
      <c r="LU274" s="65"/>
      <c r="LV274" s="13"/>
      <c r="LW274" s="14"/>
      <c r="LY274" s="65"/>
      <c r="LZ274" s="13"/>
      <c r="MA274" s="14"/>
      <c r="MC274" s="65"/>
      <c r="MD274" s="13"/>
      <c r="ME274" s="14"/>
      <c r="MG274" s="65"/>
      <c r="MH274" s="13"/>
      <c r="MI274" s="14"/>
      <c r="MK274" s="65"/>
      <c r="ML274" s="13"/>
      <c r="MM274" s="14"/>
      <c r="MO274" s="65"/>
      <c r="MP274" s="13"/>
      <c r="MQ274" s="14"/>
      <c r="MS274" s="65"/>
      <c r="MT274" s="13"/>
      <c r="MU274" s="14"/>
    </row>
    <row r="275" spans="1:359" hidden="1" x14ac:dyDescent="0.25">
      <c r="A275" s="15">
        <f>+AH26+AL19+AP16+AT16+AX14+BB14+BF13+BJ9+BN9</f>
        <v>14863124.580185464</v>
      </c>
      <c r="B275" s="20">
        <v>42969</v>
      </c>
      <c r="T275" s="15"/>
      <c r="U275" s="20"/>
      <c r="CK275" s="65"/>
      <c r="CL275" s="13"/>
      <c r="CO275" s="65"/>
      <c r="CP275" s="13"/>
      <c r="CS275" s="65"/>
      <c r="CT275" s="13"/>
      <c r="CW275" s="65"/>
      <c r="CX275" s="13"/>
      <c r="DA275" s="65"/>
      <c r="DB275" s="13"/>
      <c r="DE275" s="65"/>
      <c r="DF275" s="13"/>
      <c r="DI275" s="65"/>
      <c r="DJ275" s="13"/>
      <c r="DM275" s="65"/>
      <c r="DN275" s="13"/>
      <c r="DQ275" s="65"/>
      <c r="DR275" s="13"/>
      <c r="DU275" s="65"/>
      <c r="DV275" s="13"/>
      <c r="DY275" s="65"/>
      <c r="DZ275" s="13"/>
      <c r="EA275" s="14"/>
      <c r="EC275" s="65"/>
      <c r="ED275" s="13"/>
      <c r="EE275" s="14"/>
      <c r="EG275" s="65"/>
      <c r="EH275" s="13"/>
      <c r="EI275" s="14"/>
      <c r="EK275" s="65"/>
      <c r="EL275" s="13"/>
      <c r="EM275" s="14"/>
      <c r="EO275" s="65"/>
      <c r="EP275" s="13"/>
      <c r="EQ275" s="14"/>
      <c r="ES275" s="65"/>
      <c r="ET275" s="13"/>
      <c r="EU275" s="14"/>
      <c r="EW275" s="65"/>
      <c r="EX275" s="13"/>
      <c r="EY275" s="14"/>
      <c r="FA275" s="65"/>
      <c r="FB275" s="13"/>
      <c r="FC275" s="14"/>
      <c r="FE275" s="65"/>
      <c r="FF275" s="13"/>
      <c r="FG275" s="14"/>
      <c r="FI275" s="65"/>
      <c r="FJ275" s="13"/>
      <c r="FK275" s="14"/>
      <c r="FM275" s="65"/>
      <c r="FN275" s="13"/>
      <c r="FO275" s="14"/>
      <c r="FQ275" s="65"/>
      <c r="FR275" s="13"/>
      <c r="FS275" s="14"/>
      <c r="FU275" s="65"/>
      <c r="FV275" s="13"/>
      <c r="FW275" s="14"/>
      <c r="FY275" s="65"/>
      <c r="FZ275" s="13"/>
      <c r="GA275" s="14"/>
      <c r="GC275" s="65"/>
      <c r="GD275" s="13"/>
      <c r="GE275" s="14"/>
      <c r="GG275" s="65"/>
      <c r="GH275" s="13"/>
      <c r="GI275" s="14"/>
      <c r="GK275" s="65"/>
      <c r="GL275" s="13"/>
      <c r="GM275" s="14"/>
      <c r="GO275" s="65"/>
      <c r="GP275" s="13"/>
      <c r="GQ275" s="14"/>
      <c r="GS275" s="65"/>
      <c r="GT275" s="13"/>
      <c r="GU275" s="14"/>
      <c r="GW275" s="65"/>
      <c r="GX275" s="13"/>
      <c r="GY275" s="14"/>
      <c r="HA275" s="65"/>
      <c r="HB275" s="13"/>
      <c r="HC275" s="14"/>
      <c r="HE275" s="65"/>
      <c r="HF275" s="13"/>
      <c r="HG275" s="14"/>
      <c r="HI275" s="65"/>
      <c r="HJ275" s="13"/>
      <c r="HK275" s="14"/>
      <c r="HM275" s="65"/>
      <c r="HN275" s="13"/>
      <c r="HO275" s="14"/>
      <c r="HQ275" s="65"/>
      <c r="HR275" s="13"/>
      <c r="HS275" s="14"/>
      <c r="HU275" s="65"/>
      <c r="HV275" s="13"/>
      <c r="HW275" s="14"/>
      <c r="HY275" s="65"/>
      <c r="HZ275" s="13"/>
      <c r="IA275" s="14"/>
      <c r="IC275" s="65"/>
      <c r="ID275" s="13"/>
      <c r="IE275" s="14"/>
      <c r="IG275" s="65"/>
      <c r="IH275" s="13"/>
      <c r="II275" s="14"/>
      <c r="IK275" s="65"/>
      <c r="IL275" s="13"/>
      <c r="IM275" s="14"/>
      <c r="IO275" s="65"/>
      <c r="IP275" s="13"/>
      <c r="IQ275" s="14"/>
      <c r="IS275" s="65"/>
      <c r="IT275" s="13"/>
      <c r="IU275" s="14"/>
      <c r="IW275" s="65"/>
      <c r="IX275" s="13"/>
      <c r="IY275" s="14"/>
      <c r="JA275" s="65"/>
      <c r="JB275" s="13"/>
      <c r="JC275" s="14"/>
      <c r="JE275" s="65"/>
      <c r="JF275" s="13"/>
      <c r="JG275" s="14"/>
      <c r="JI275" s="65"/>
      <c r="JJ275" s="13"/>
      <c r="JK275" s="14"/>
      <c r="JM275" s="65"/>
      <c r="JN275" s="13"/>
      <c r="JO275" s="14"/>
      <c r="JQ275" s="65"/>
      <c r="JR275" s="13"/>
      <c r="JS275" s="14"/>
      <c r="JU275" s="65"/>
      <c r="JV275" s="13"/>
      <c r="JW275" s="14"/>
      <c r="JY275" s="65"/>
      <c r="JZ275" s="13"/>
      <c r="KA275" s="14"/>
      <c r="KC275" s="65"/>
      <c r="KD275" s="13"/>
      <c r="KE275" s="14"/>
      <c r="KG275" s="65"/>
      <c r="KH275" s="13"/>
      <c r="KI275" s="14"/>
      <c r="KK275" s="65"/>
      <c r="KL275" s="13"/>
      <c r="KM275" s="14"/>
      <c r="KO275" s="65"/>
      <c r="KP275" s="13"/>
      <c r="KQ275" s="14"/>
      <c r="KS275" s="65"/>
      <c r="KT275" s="13"/>
      <c r="KU275" s="14"/>
      <c r="KW275" s="65"/>
      <c r="KX275" s="13"/>
      <c r="KY275" s="14"/>
      <c r="LA275" s="65"/>
      <c r="LB275" s="13"/>
      <c r="LC275" s="14"/>
      <c r="LE275" s="65"/>
      <c r="LF275" s="13"/>
      <c r="LG275" s="14"/>
      <c r="LI275" s="65"/>
      <c r="LJ275" s="13"/>
      <c r="LK275" s="14"/>
      <c r="LM275" s="65"/>
      <c r="LN275" s="13"/>
      <c r="LO275" s="14"/>
      <c r="LQ275" s="65"/>
      <c r="LR275" s="13"/>
      <c r="LS275" s="14"/>
      <c r="LU275" s="65"/>
      <c r="LV275" s="13"/>
      <c r="LW275" s="14"/>
      <c r="LY275" s="65"/>
      <c r="LZ275" s="13"/>
      <c r="MA275" s="14"/>
      <c r="MC275" s="65"/>
      <c r="MD275" s="13"/>
      <c r="ME275" s="14"/>
      <c r="MG275" s="65"/>
      <c r="MH275" s="13"/>
      <c r="MI275" s="14"/>
      <c r="MK275" s="65"/>
      <c r="ML275" s="13"/>
      <c r="MM275" s="14"/>
      <c r="MO275" s="65"/>
      <c r="MP275" s="13"/>
      <c r="MQ275" s="14"/>
      <c r="MS275" s="65"/>
      <c r="MT275" s="13"/>
      <c r="MU275" s="14"/>
    </row>
    <row r="276" spans="1:359" hidden="1" x14ac:dyDescent="0.25">
      <c r="A276" s="15">
        <f t="shared" ref="A276:A280" si="198">+AH27+AL20+AP17+AT17+AX15+BB15+BF14+BJ10+BN10</f>
        <v>14863930.114447702</v>
      </c>
      <c r="B276" s="20">
        <v>42970</v>
      </c>
      <c r="T276" s="15"/>
      <c r="U276" s="20"/>
      <c r="CK276" s="65"/>
      <c r="CL276" s="13"/>
      <c r="CO276" s="65"/>
      <c r="CP276" s="13"/>
      <c r="CS276" s="65"/>
      <c r="CT276" s="13"/>
      <c r="CW276" s="65"/>
      <c r="CX276" s="13"/>
      <c r="DA276" s="65"/>
      <c r="DB276" s="13"/>
      <c r="DE276" s="65"/>
      <c r="DF276" s="13"/>
      <c r="DI276" s="65"/>
      <c r="DJ276" s="13"/>
      <c r="DM276" s="65"/>
      <c r="DN276" s="13"/>
      <c r="DQ276" s="65"/>
      <c r="DR276" s="13"/>
      <c r="DU276" s="65"/>
      <c r="DV276" s="13"/>
      <c r="DY276" s="65"/>
      <c r="DZ276" s="13"/>
      <c r="EA276" s="14"/>
      <c r="EC276" s="65"/>
      <c r="ED276" s="13"/>
      <c r="EE276" s="14"/>
      <c r="EG276" s="65"/>
      <c r="EH276" s="13"/>
      <c r="EI276" s="14"/>
      <c r="EK276" s="65"/>
      <c r="EL276" s="13"/>
      <c r="EM276" s="14"/>
      <c r="EO276" s="65"/>
      <c r="EP276" s="13"/>
      <c r="EQ276" s="14"/>
      <c r="ES276" s="65"/>
      <c r="ET276" s="13"/>
      <c r="EU276" s="14"/>
      <c r="EW276" s="65"/>
      <c r="EX276" s="13"/>
      <c r="EY276" s="14"/>
      <c r="FA276" s="65"/>
      <c r="FB276" s="13"/>
      <c r="FC276" s="14"/>
      <c r="FE276" s="65"/>
      <c r="FF276" s="13"/>
      <c r="FG276" s="14"/>
      <c r="FI276" s="65"/>
      <c r="FJ276" s="13"/>
      <c r="FK276" s="14"/>
      <c r="FM276" s="65"/>
      <c r="FN276" s="13"/>
      <c r="FO276" s="14"/>
      <c r="FQ276" s="65"/>
      <c r="FR276" s="13"/>
      <c r="FS276" s="14"/>
      <c r="FU276" s="65"/>
      <c r="FV276" s="13"/>
      <c r="FW276" s="14"/>
      <c r="FY276" s="65"/>
      <c r="FZ276" s="13"/>
      <c r="GA276" s="14"/>
      <c r="GC276" s="65"/>
      <c r="GD276" s="13"/>
      <c r="GE276" s="14"/>
      <c r="GG276" s="65"/>
      <c r="GH276" s="13"/>
      <c r="GI276" s="14"/>
      <c r="GK276" s="65"/>
      <c r="GL276" s="13"/>
      <c r="GM276" s="14"/>
      <c r="GO276" s="65"/>
      <c r="GP276" s="13"/>
      <c r="GQ276" s="14"/>
      <c r="GS276" s="65"/>
      <c r="GT276" s="13"/>
      <c r="GU276" s="14"/>
      <c r="GW276" s="65"/>
      <c r="GX276" s="13"/>
      <c r="GY276" s="14"/>
      <c r="HA276" s="65"/>
      <c r="HB276" s="13"/>
      <c r="HC276" s="14"/>
      <c r="HE276" s="65"/>
      <c r="HF276" s="13"/>
      <c r="HG276" s="14"/>
      <c r="HI276" s="65"/>
      <c r="HJ276" s="13"/>
      <c r="HK276" s="14"/>
      <c r="HM276" s="65"/>
      <c r="HN276" s="13"/>
      <c r="HO276" s="14"/>
      <c r="HQ276" s="65"/>
      <c r="HR276" s="13"/>
      <c r="HS276" s="14"/>
      <c r="HU276" s="65"/>
      <c r="HV276" s="13"/>
      <c r="HW276" s="14"/>
      <c r="HY276" s="65"/>
      <c r="HZ276" s="13"/>
      <c r="IA276" s="14"/>
      <c r="IC276" s="65"/>
      <c r="ID276" s="13"/>
      <c r="IE276" s="14"/>
      <c r="IG276" s="65"/>
      <c r="IH276" s="13"/>
      <c r="II276" s="14"/>
      <c r="IK276" s="65"/>
      <c r="IL276" s="13"/>
      <c r="IM276" s="14"/>
      <c r="IO276" s="65"/>
      <c r="IP276" s="13"/>
      <c r="IQ276" s="14"/>
      <c r="IS276" s="65"/>
      <c r="IT276" s="13"/>
      <c r="IU276" s="14"/>
      <c r="IW276" s="65"/>
      <c r="IX276" s="13"/>
      <c r="IY276" s="14"/>
      <c r="JA276" s="65"/>
      <c r="JB276" s="13"/>
      <c r="JC276" s="14"/>
      <c r="JE276" s="65"/>
      <c r="JF276" s="13"/>
      <c r="JG276" s="14"/>
      <c r="JI276" s="65"/>
      <c r="JJ276" s="13"/>
      <c r="JK276" s="14"/>
      <c r="JM276" s="65"/>
      <c r="JN276" s="13"/>
      <c r="JO276" s="14"/>
      <c r="JQ276" s="65"/>
      <c r="JR276" s="13"/>
      <c r="JS276" s="14"/>
      <c r="JU276" s="65"/>
      <c r="JV276" s="13"/>
      <c r="JW276" s="14"/>
      <c r="JY276" s="65"/>
      <c r="JZ276" s="13"/>
      <c r="KA276" s="14"/>
      <c r="KC276" s="65"/>
      <c r="KD276" s="13"/>
      <c r="KE276" s="14"/>
      <c r="KG276" s="65"/>
      <c r="KH276" s="13"/>
      <c r="KI276" s="14"/>
      <c r="KK276" s="65"/>
      <c r="KL276" s="13"/>
      <c r="KM276" s="14"/>
      <c r="KO276" s="65"/>
      <c r="KP276" s="13"/>
      <c r="KQ276" s="14"/>
      <c r="KS276" s="65"/>
      <c r="KT276" s="13"/>
      <c r="KU276" s="14"/>
      <c r="KW276" s="65"/>
      <c r="KX276" s="13"/>
      <c r="KY276" s="14"/>
      <c r="LA276" s="65"/>
      <c r="LB276" s="13"/>
      <c r="LC276" s="14"/>
      <c r="LE276" s="65"/>
      <c r="LF276" s="13"/>
      <c r="LG276" s="14"/>
      <c r="LI276" s="65"/>
      <c r="LJ276" s="13"/>
      <c r="LK276" s="14"/>
      <c r="LM276" s="65"/>
      <c r="LN276" s="13"/>
      <c r="LO276" s="14"/>
      <c r="LQ276" s="65"/>
      <c r="LR276" s="13"/>
      <c r="LS276" s="14"/>
      <c r="LU276" s="65"/>
      <c r="LV276" s="13"/>
      <c r="LW276" s="14"/>
      <c r="LY276" s="65"/>
      <c r="LZ276" s="13"/>
      <c r="MA276" s="14"/>
      <c r="MC276" s="65"/>
      <c r="MD276" s="13"/>
      <c r="ME276" s="14"/>
      <c r="MG276" s="65"/>
      <c r="MH276" s="13"/>
      <c r="MI276" s="14"/>
      <c r="MK276" s="65"/>
      <c r="ML276" s="13"/>
      <c r="MM276" s="14"/>
      <c r="MO276" s="65"/>
      <c r="MP276" s="13"/>
      <c r="MQ276" s="14"/>
      <c r="MS276" s="65"/>
      <c r="MT276" s="13"/>
      <c r="MU276" s="14"/>
    </row>
    <row r="277" spans="1:359" hidden="1" x14ac:dyDescent="0.25">
      <c r="A277" s="15">
        <f t="shared" si="198"/>
        <v>14864735.736264965</v>
      </c>
      <c r="B277" s="20">
        <v>42971</v>
      </c>
      <c r="T277" s="15"/>
      <c r="U277" s="20"/>
      <c r="CK277" s="65"/>
      <c r="CL277" s="13"/>
      <c r="CO277" s="65"/>
      <c r="CP277" s="13"/>
      <c r="CS277" s="65"/>
      <c r="CT277" s="13"/>
      <c r="CW277" s="65"/>
      <c r="CX277" s="13"/>
      <c r="DA277" s="65"/>
      <c r="DB277" s="13"/>
      <c r="DE277" s="65"/>
      <c r="DF277" s="13"/>
      <c r="DI277" s="65"/>
      <c r="DJ277" s="13"/>
      <c r="DM277" s="65"/>
      <c r="DN277" s="13"/>
      <c r="DQ277" s="65"/>
      <c r="DR277" s="13"/>
      <c r="DU277" s="65"/>
      <c r="DV277" s="13"/>
      <c r="DY277" s="65"/>
      <c r="DZ277" s="13"/>
      <c r="EA277" s="14"/>
      <c r="EC277" s="65"/>
      <c r="ED277" s="13"/>
      <c r="EE277" s="14"/>
      <c r="EG277" s="65"/>
      <c r="EH277" s="13"/>
      <c r="EI277" s="14"/>
      <c r="EK277" s="65"/>
      <c r="EL277" s="13"/>
      <c r="EM277" s="14"/>
      <c r="EO277" s="65"/>
      <c r="EP277" s="13"/>
      <c r="EQ277" s="14"/>
      <c r="ES277" s="65"/>
      <c r="ET277" s="13"/>
      <c r="EU277" s="14"/>
      <c r="EW277" s="65"/>
      <c r="EX277" s="13"/>
      <c r="EY277" s="14"/>
      <c r="FA277" s="65"/>
      <c r="FB277" s="13"/>
      <c r="FC277" s="14"/>
      <c r="FE277" s="65"/>
      <c r="FF277" s="13"/>
      <c r="FG277" s="14"/>
      <c r="FI277" s="65"/>
      <c r="FJ277" s="13"/>
      <c r="FK277" s="14"/>
      <c r="FM277" s="65"/>
      <c r="FN277" s="13"/>
      <c r="FO277" s="14"/>
      <c r="FQ277" s="65"/>
      <c r="FR277" s="13"/>
      <c r="FS277" s="14"/>
      <c r="FU277" s="65"/>
      <c r="FV277" s="13"/>
      <c r="FW277" s="14"/>
      <c r="FY277" s="65"/>
      <c r="FZ277" s="13"/>
      <c r="GA277" s="14"/>
      <c r="GC277" s="65"/>
      <c r="GD277" s="13"/>
      <c r="GE277" s="14"/>
      <c r="GG277" s="65"/>
      <c r="GH277" s="13"/>
      <c r="GI277" s="14"/>
      <c r="GK277" s="65"/>
      <c r="GL277" s="13"/>
      <c r="GM277" s="14"/>
      <c r="GO277" s="65"/>
      <c r="GP277" s="13"/>
      <c r="GQ277" s="14"/>
      <c r="GS277" s="65"/>
      <c r="GT277" s="13"/>
      <c r="GU277" s="14"/>
      <c r="GW277" s="65"/>
      <c r="GX277" s="13"/>
      <c r="GY277" s="14"/>
      <c r="HA277" s="65"/>
      <c r="HB277" s="13"/>
      <c r="HC277" s="14"/>
      <c r="HE277" s="65"/>
      <c r="HF277" s="13"/>
      <c r="HG277" s="14"/>
      <c r="HI277" s="65"/>
      <c r="HJ277" s="13"/>
      <c r="HK277" s="14"/>
      <c r="HM277" s="65"/>
      <c r="HN277" s="13"/>
      <c r="HO277" s="14"/>
      <c r="HQ277" s="65"/>
      <c r="HR277" s="13"/>
      <c r="HS277" s="14"/>
      <c r="HU277" s="65"/>
      <c r="HV277" s="13"/>
      <c r="HW277" s="14"/>
      <c r="HY277" s="65"/>
      <c r="HZ277" s="13"/>
      <c r="IA277" s="14"/>
      <c r="IC277" s="65"/>
      <c r="ID277" s="13"/>
      <c r="IE277" s="14"/>
      <c r="IG277" s="65"/>
      <c r="IH277" s="13"/>
      <c r="II277" s="14"/>
      <c r="IK277" s="65"/>
      <c r="IL277" s="13"/>
      <c r="IM277" s="14"/>
      <c r="IO277" s="65"/>
      <c r="IP277" s="13"/>
      <c r="IQ277" s="14"/>
      <c r="IS277" s="65"/>
      <c r="IT277" s="13"/>
      <c r="IU277" s="14"/>
      <c r="IW277" s="65"/>
      <c r="IX277" s="13"/>
      <c r="IY277" s="14"/>
      <c r="JA277" s="65"/>
      <c r="JB277" s="13"/>
      <c r="JC277" s="14"/>
      <c r="JE277" s="65"/>
      <c r="JF277" s="13"/>
      <c r="JG277" s="14"/>
      <c r="JI277" s="65"/>
      <c r="JJ277" s="13"/>
      <c r="JK277" s="14"/>
      <c r="JM277" s="65"/>
      <c r="JN277" s="13"/>
      <c r="JO277" s="14"/>
      <c r="JQ277" s="65"/>
      <c r="JR277" s="13"/>
      <c r="JS277" s="14"/>
      <c r="JU277" s="65"/>
      <c r="JV277" s="13"/>
      <c r="JW277" s="14"/>
      <c r="JY277" s="65"/>
      <c r="JZ277" s="13"/>
      <c r="KA277" s="14"/>
      <c r="KC277" s="65"/>
      <c r="KD277" s="13"/>
      <c r="KE277" s="14"/>
      <c r="KG277" s="65"/>
      <c r="KH277" s="13"/>
      <c r="KI277" s="14"/>
      <c r="KK277" s="65"/>
      <c r="KL277" s="13"/>
      <c r="KM277" s="14"/>
      <c r="KO277" s="65"/>
      <c r="KP277" s="13"/>
      <c r="KQ277" s="14"/>
      <c r="KS277" s="65"/>
      <c r="KT277" s="13"/>
      <c r="KU277" s="14"/>
      <c r="KW277" s="65"/>
      <c r="KX277" s="13"/>
      <c r="KY277" s="14"/>
      <c r="LA277" s="65"/>
      <c r="LB277" s="13"/>
      <c r="LC277" s="14"/>
      <c r="LE277" s="65"/>
      <c r="LF277" s="13"/>
      <c r="LG277" s="14"/>
      <c r="LI277" s="65"/>
      <c r="LJ277" s="13"/>
      <c r="LK277" s="14"/>
      <c r="LM277" s="65"/>
      <c r="LN277" s="13"/>
      <c r="LO277" s="14"/>
      <c r="LQ277" s="65"/>
      <c r="LR277" s="13"/>
      <c r="LS277" s="14"/>
      <c r="LU277" s="65"/>
      <c r="LV277" s="13"/>
      <c r="LW277" s="14"/>
      <c r="LY277" s="65"/>
      <c r="LZ277" s="13"/>
      <c r="MA277" s="14"/>
      <c r="MC277" s="65"/>
      <c r="MD277" s="13"/>
      <c r="ME277" s="14"/>
      <c r="MG277" s="65"/>
      <c r="MH277" s="13"/>
      <c r="MI277" s="14"/>
      <c r="MK277" s="65"/>
      <c r="ML277" s="13"/>
      <c r="MM277" s="14"/>
      <c r="MO277" s="65"/>
      <c r="MP277" s="13"/>
      <c r="MQ277" s="14"/>
      <c r="MS277" s="65"/>
      <c r="MT277" s="13"/>
      <c r="MU277" s="14"/>
    </row>
    <row r="278" spans="1:359" hidden="1" x14ac:dyDescent="0.25">
      <c r="A278" s="15">
        <f t="shared" si="198"/>
        <v>14865541.445651578</v>
      </c>
      <c r="B278" s="20">
        <v>42972</v>
      </c>
      <c r="T278" s="15"/>
      <c r="U278" s="20"/>
      <c r="CK278" s="65"/>
      <c r="CL278" s="13"/>
      <c r="CO278" s="65"/>
      <c r="CP278" s="13"/>
      <c r="CS278" s="65"/>
      <c r="CT278" s="13"/>
      <c r="CW278" s="65"/>
      <c r="CX278" s="13"/>
      <c r="DA278" s="65"/>
      <c r="DB278" s="13"/>
      <c r="DE278" s="65"/>
      <c r="DF278" s="13"/>
      <c r="DI278" s="65"/>
      <c r="DJ278" s="13"/>
      <c r="DM278" s="65"/>
      <c r="DN278" s="13"/>
      <c r="DQ278" s="65"/>
      <c r="DR278" s="13"/>
      <c r="DU278" s="65"/>
      <c r="DV278" s="13"/>
      <c r="DY278" s="65"/>
      <c r="DZ278" s="13"/>
      <c r="EA278" s="14"/>
      <c r="EC278" s="65"/>
      <c r="ED278" s="13"/>
      <c r="EE278" s="14"/>
      <c r="EG278" s="65"/>
      <c r="EH278" s="13"/>
      <c r="EI278" s="14"/>
      <c r="EK278" s="65"/>
      <c r="EL278" s="13"/>
      <c r="EM278" s="14"/>
      <c r="EO278" s="65"/>
      <c r="EP278" s="13"/>
      <c r="EQ278" s="14"/>
      <c r="ES278" s="65"/>
      <c r="ET278" s="13"/>
      <c r="EU278" s="14"/>
      <c r="EW278" s="65"/>
      <c r="EX278" s="13"/>
      <c r="EY278" s="14"/>
      <c r="FA278" s="65"/>
      <c r="FB278" s="13"/>
      <c r="FC278" s="14"/>
      <c r="FE278" s="65"/>
      <c r="FF278" s="13"/>
      <c r="FG278" s="14"/>
      <c r="FI278" s="65"/>
      <c r="FJ278" s="13"/>
      <c r="FK278" s="14"/>
      <c r="FM278" s="65"/>
      <c r="FN278" s="13"/>
      <c r="FO278" s="14"/>
      <c r="FQ278" s="65"/>
      <c r="FR278" s="13"/>
      <c r="FS278" s="14"/>
      <c r="FU278" s="65"/>
      <c r="FV278" s="13"/>
      <c r="FW278" s="14"/>
      <c r="FY278" s="65"/>
      <c r="FZ278" s="13"/>
      <c r="GA278" s="14"/>
      <c r="GC278" s="65"/>
      <c r="GD278" s="13"/>
      <c r="GE278" s="14"/>
      <c r="GG278" s="65"/>
      <c r="GH278" s="13"/>
      <c r="GI278" s="14"/>
      <c r="GK278" s="65"/>
      <c r="GL278" s="13"/>
      <c r="GM278" s="14"/>
      <c r="GO278" s="65"/>
      <c r="GP278" s="13"/>
      <c r="GQ278" s="14"/>
      <c r="GS278" s="65"/>
      <c r="GT278" s="13"/>
      <c r="GU278" s="14"/>
      <c r="GW278" s="65"/>
      <c r="GX278" s="13"/>
      <c r="GY278" s="14"/>
      <c r="HA278" s="65"/>
      <c r="HB278" s="13"/>
      <c r="HC278" s="14"/>
      <c r="HE278" s="65"/>
      <c r="HF278" s="13"/>
      <c r="HG278" s="14"/>
      <c r="HI278" s="65"/>
      <c r="HJ278" s="13"/>
      <c r="HK278" s="14"/>
      <c r="HM278" s="65"/>
      <c r="HN278" s="13"/>
      <c r="HO278" s="14"/>
      <c r="HQ278" s="65"/>
      <c r="HR278" s="13"/>
      <c r="HS278" s="14"/>
      <c r="HU278" s="65"/>
      <c r="HV278" s="13"/>
      <c r="HW278" s="14"/>
      <c r="HY278" s="65"/>
      <c r="HZ278" s="13"/>
      <c r="IA278" s="14"/>
      <c r="IC278" s="65"/>
      <c r="ID278" s="13"/>
      <c r="IE278" s="14"/>
      <c r="IG278" s="65"/>
      <c r="IH278" s="13"/>
      <c r="II278" s="14"/>
      <c r="IK278" s="65"/>
      <c r="IL278" s="13"/>
      <c r="IM278" s="14"/>
      <c r="IO278" s="65"/>
      <c r="IP278" s="13"/>
      <c r="IQ278" s="14"/>
      <c r="IS278" s="65"/>
      <c r="IT278" s="13"/>
      <c r="IU278" s="14"/>
      <c r="IW278" s="65"/>
      <c r="IX278" s="13"/>
      <c r="IY278" s="14"/>
      <c r="JA278" s="65"/>
      <c r="JB278" s="13"/>
      <c r="JC278" s="14"/>
      <c r="JE278" s="65"/>
      <c r="JF278" s="13"/>
      <c r="JG278" s="14"/>
      <c r="JI278" s="65"/>
      <c r="JJ278" s="13"/>
      <c r="JK278" s="14"/>
      <c r="JM278" s="65"/>
      <c r="JN278" s="13"/>
      <c r="JO278" s="14"/>
      <c r="JQ278" s="65"/>
      <c r="JR278" s="13"/>
      <c r="JS278" s="14"/>
      <c r="JU278" s="65"/>
      <c r="JV278" s="13"/>
      <c r="JW278" s="14"/>
      <c r="JY278" s="65"/>
      <c r="JZ278" s="13"/>
      <c r="KA278" s="14"/>
      <c r="KC278" s="65"/>
      <c r="KD278" s="13"/>
      <c r="KE278" s="14"/>
      <c r="KG278" s="65"/>
      <c r="KH278" s="13"/>
      <c r="KI278" s="14"/>
      <c r="KK278" s="65"/>
      <c r="KL278" s="13"/>
      <c r="KM278" s="14"/>
      <c r="KO278" s="65"/>
      <c r="KP278" s="13"/>
      <c r="KQ278" s="14"/>
      <c r="KS278" s="65"/>
      <c r="KT278" s="13"/>
      <c r="KU278" s="14"/>
      <c r="KW278" s="65"/>
      <c r="KX278" s="13"/>
      <c r="KY278" s="14"/>
      <c r="LA278" s="65"/>
      <c r="LB278" s="13"/>
      <c r="LC278" s="14"/>
      <c r="LE278" s="65"/>
      <c r="LF278" s="13"/>
      <c r="LG278" s="14"/>
      <c r="LI278" s="65"/>
      <c r="LJ278" s="13"/>
      <c r="LK278" s="14"/>
      <c r="LM278" s="65"/>
      <c r="LN278" s="13"/>
      <c r="LO278" s="14"/>
      <c r="LQ278" s="65"/>
      <c r="LR278" s="13"/>
      <c r="LS278" s="14"/>
      <c r="LU278" s="65"/>
      <c r="LV278" s="13"/>
      <c r="LW278" s="14"/>
      <c r="LY278" s="65"/>
      <c r="LZ278" s="13"/>
      <c r="MA278" s="14"/>
      <c r="MC278" s="65"/>
      <c r="MD278" s="13"/>
      <c r="ME278" s="14"/>
      <c r="MG278" s="65"/>
      <c r="MH278" s="13"/>
      <c r="MI278" s="14"/>
      <c r="MK278" s="65"/>
      <c r="ML278" s="13"/>
      <c r="MM278" s="14"/>
      <c r="MO278" s="65"/>
      <c r="MP278" s="13"/>
      <c r="MQ278" s="14"/>
      <c r="MS278" s="65"/>
      <c r="MT278" s="13"/>
      <c r="MU278" s="14"/>
    </row>
    <row r="279" spans="1:359" hidden="1" x14ac:dyDescent="0.25">
      <c r="A279" s="15">
        <f t="shared" si="198"/>
        <v>14866347.242621852</v>
      </c>
      <c r="B279" s="20">
        <v>42973</v>
      </c>
      <c r="T279" s="15"/>
      <c r="U279" s="20"/>
      <c r="CK279" s="65"/>
      <c r="CL279" s="13"/>
      <c r="CO279" s="65"/>
      <c r="CP279" s="13"/>
      <c r="CS279" s="65"/>
      <c r="CT279" s="13"/>
      <c r="CW279" s="65"/>
      <c r="CX279" s="13"/>
      <c r="DA279" s="65"/>
      <c r="DB279" s="13"/>
      <c r="DE279" s="65"/>
      <c r="DF279" s="13"/>
      <c r="DI279" s="65"/>
      <c r="DJ279" s="13"/>
      <c r="DM279" s="65"/>
      <c r="DN279" s="13"/>
      <c r="DQ279" s="65"/>
      <c r="DR279" s="13"/>
      <c r="DU279" s="65"/>
      <c r="DV279" s="13"/>
      <c r="DY279" s="65"/>
      <c r="DZ279" s="13"/>
      <c r="EA279" s="14"/>
      <c r="EC279" s="65"/>
      <c r="ED279" s="13"/>
      <c r="EE279" s="14"/>
      <c r="EG279" s="65"/>
      <c r="EH279" s="13"/>
      <c r="EI279" s="14"/>
      <c r="EK279" s="65"/>
      <c r="EL279" s="13"/>
      <c r="EM279" s="14"/>
      <c r="EO279" s="65"/>
      <c r="EP279" s="13"/>
      <c r="EQ279" s="14"/>
      <c r="ES279" s="65"/>
      <c r="ET279" s="13"/>
      <c r="EU279" s="14"/>
      <c r="EW279" s="65"/>
      <c r="EX279" s="13"/>
      <c r="EY279" s="14"/>
      <c r="FA279" s="65"/>
      <c r="FB279" s="13"/>
      <c r="FC279" s="14"/>
      <c r="FE279" s="65"/>
      <c r="FF279" s="13"/>
      <c r="FG279" s="14"/>
      <c r="FI279" s="65"/>
      <c r="FJ279" s="13"/>
      <c r="FK279" s="14"/>
      <c r="FM279" s="65"/>
      <c r="FN279" s="13"/>
      <c r="FO279" s="14"/>
      <c r="FQ279" s="65"/>
      <c r="FR279" s="13"/>
      <c r="FS279" s="14"/>
      <c r="FU279" s="65"/>
      <c r="FV279" s="13"/>
      <c r="FW279" s="14"/>
      <c r="FY279" s="65"/>
      <c r="FZ279" s="13"/>
      <c r="GA279" s="14"/>
      <c r="GC279" s="65"/>
      <c r="GD279" s="13"/>
      <c r="GE279" s="14"/>
      <c r="GG279" s="65"/>
      <c r="GH279" s="13"/>
      <c r="GI279" s="14"/>
      <c r="GK279" s="65"/>
      <c r="GL279" s="13"/>
      <c r="GM279" s="14"/>
      <c r="GO279" s="65"/>
      <c r="GP279" s="13"/>
      <c r="GQ279" s="14"/>
      <c r="GS279" s="65"/>
      <c r="GT279" s="13"/>
      <c r="GU279" s="14"/>
      <c r="GW279" s="65"/>
      <c r="GX279" s="13"/>
      <c r="GY279" s="14"/>
      <c r="HA279" s="65"/>
      <c r="HB279" s="13"/>
      <c r="HC279" s="14"/>
      <c r="HE279" s="65"/>
      <c r="HF279" s="13"/>
      <c r="HG279" s="14"/>
      <c r="HI279" s="65"/>
      <c r="HJ279" s="13"/>
      <c r="HK279" s="14"/>
      <c r="HM279" s="65"/>
      <c r="HN279" s="13"/>
      <c r="HO279" s="14"/>
      <c r="HQ279" s="65"/>
      <c r="HR279" s="13"/>
      <c r="HS279" s="14"/>
      <c r="HU279" s="65"/>
      <c r="HV279" s="13"/>
      <c r="HW279" s="14"/>
      <c r="HY279" s="65"/>
      <c r="HZ279" s="13"/>
      <c r="IA279" s="14"/>
      <c r="IC279" s="65"/>
      <c r="ID279" s="13"/>
      <c r="IE279" s="14"/>
      <c r="IG279" s="65"/>
      <c r="IH279" s="13"/>
      <c r="II279" s="14"/>
      <c r="IK279" s="65"/>
      <c r="IL279" s="13"/>
      <c r="IM279" s="14"/>
      <c r="IO279" s="65"/>
      <c r="IP279" s="13"/>
      <c r="IQ279" s="14"/>
      <c r="IS279" s="65"/>
      <c r="IT279" s="13"/>
      <c r="IU279" s="14"/>
      <c r="IW279" s="65"/>
      <c r="IX279" s="13"/>
      <c r="IY279" s="14"/>
      <c r="JA279" s="65"/>
      <c r="JB279" s="13"/>
      <c r="JC279" s="14"/>
      <c r="JE279" s="65"/>
      <c r="JF279" s="13"/>
      <c r="JG279" s="14"/>
      <c r="JI279" s="65"/>
      <c r="JJ279" s="13"/>
      <c r="JK279" s="14"/>
      <c r="JM279" s="65"/>
      <c r="JN279" s="13"/>
      <c r="JO279" s="14"/>
      <c r="JQ279" s="65"/>
      <c r="JR279" s="13"/>
      <c r="JS279" s="14"/>
      <c r="JU279" s="65"/>
      <c r="JV279" s="13"/>
      <c r="JW279" s="14"/>
      <c r="JY279" s="65"/>
      <c r="JZ279" s="13"/>
      <c r="KA279" s="14"/>
      <c r="KC279" s="65"/>
      <c r="KD279" s="13"/>
      <c r="KE279" s="14"/>
      <c r="KG279" s="65"/>
      <c r="KH279" s="13"/>
      <c r="KI279" s="14"/>
      <c r="KK279" s="65"/>
      <c r="KL279" s="13"/>
      <c r="KM279" s="14"/>
      <c r="KO279" s="65"/>
      <c r="KP279" s="13"/>
      <c r="KQ279" s="14"/>
      <c r="KS279" s="65"/>
      <c r="KT279" s="13"/>
      <c r="KU279" s="14"/>
      <c r="KW279" s="65"/>
      <c r="KX279" s="13"/>
      <c r="KY279" s="14"/>
      <c r="LA279" s="65"/>
      <c r="LB279" s="13"/>
      <c r="LC279" s="14"/>
      <c r="LE279" s="65"/>
      <c r="LF279" s="13"/>
      <c r="LG279" s="14"/>
      <c r="LI279" s="65"/>
      <c r="LJ279" s="13"/>
      <c r="LK279" s="14"/>
      <c r="LM279" s="65"/>
      <c r="LN279" s="13"/>
      <c r="LO279" s="14"/>
      <c r="LQ279" s="65"/>
      <c r="LR279" s="13"/>
      <c r="LS279" s="14"/>
      <c r="LU279" s="65"/>
      <c r="LV279" s="13"/>
      <c r="LW279" s="14"/>
      <c r="LY279" s="65"/>
      <c r="LZ279" s="13"/>
      <c r="MA279" s="14"/>
      <c r="MC279" s="65"/>
      <c r="MD279" s="13"/>
      <c r="ME279" s="14"/>
      <c r="MG279" s="65"/>
      <c r="MH279" s="13"/>
      <c r="MI279" s="14"/>
      <c r="MK279" s="65"/>
      <c r="ML279" s="13"/>
      <c r="MM279" s="14"/>
      <c r="MO279" s="65"/>
      <c r="MP279" s="13"/>
      <c r="MQ279" s="14"/>
      <c r="MS279" s="65"/>
      <c r="MT279" s="13"/>
      <c r="MU279" s="14"/>
    </row>
    <row r="280" spans="1:359" hidden="1" x14ac:dyDescent="0.25">
      <c r="A280" s="15">
        <f t="shared" si="198"/>
        <v>14867153.127190115</v>
      </c>
      <c r="B280" s="20">
        <v>42974</v>
      </c>
      <c r="T280" s="15"/>
      <c r="U280" s="20"/>
      <c r="CK280" s="65"/>
      <c r="CL280" s="13"/>
      <c r="CO280" s="65"/>
      <c r="CP280" s="13"/>
      <c r="CS280" s="65"/>
      <c r="CT280" s="13"/>
      <c r="CW280" s="65"/>
      <c r="CX280" s="13"/>
      <c r="DA280" s="65"/>
      <c r="DB280" s="13"/>
      <c r="DE280" s="65"/>
      <c r="DF280" s="13"/>
      <c r="DI280" s="65"/>
      <c r="DJ280" s="13"/>
      <c r="DM280" s="65"/>
      <c r="DN280" s="13"/>
      <c r="DQ280" s="65"/>
      <c r="DR280" s="13"/>
      <c r="DU280" s="65"/>
      <c r="DV280" s="13"/>
      <c r="DY280" s="65"/>
      <c r="DZ280" s="13"/>
      <c r="EA280" s="14"/>
      <c r="EC280" s="65"/>
      <c r="ED280" s="13"/>
      <c r="EE280" s="14"/>
      <c r="EG280" s="65"/>
      <c r="EH280" s="13"/>
      <c r="EI280" s="14"/>
      <c r="EK280" s="65"/>
      <c r="EL280" s="13"/>
      <c r="EM280" s="14"/>
      <c r="EO280" s="65"/>
      <c r="EP280" s="13"/>
      <c r="EQ280" s="14"/>
      <c r="ES280" s="65"/>
      <c r="ET280" s="13"/>
      <c r="EU280" s="14"/>
      <c r="EW280" s="65"/>
      <c r="EX280" s="13"/>
      <c r="EY280" s="14"/>
      <c r="FA280" s="65"/>
      <c r="FB280" s="13"/>
      <c r="FC280" s="14"/>
      <c r="FE280" s="65"/>
      <c r="FF280" s="13"/>
      <c r="FG280" s="14"/>
      <c r="FI280" s="65"/>
      <c r="FJ280" s="13"/>
      <c r="FK280" s="14"/>
      <c r="FM280" s="65"/>
      <c r="FN280" s="13"/>
      <c r="FO280" s="14"/>
      <c r="FQ280" s="65"/>
      <c r="FR280" s="13"/>
      <c r="FS280" s="14"/>
      <c r="FU280" s="65"/>
      <c r="FV280" s="13"/>
      <c r="FW280" s="14"/>
      <c r="FY280" s="65"/>
      <c r="FZ280" s="13"/>
      <c r="GA280" s="14"/>
      <c r="GC280" s="65"/>
      <c r="GD280" s="13"/>
      <c r="GE280" s="14"/>
      <c r="GG280" s="65"/>
      <c r="GH280" s="13"/>
      <c r="GI280" s="14"/>
      <c r="GK280" s="65"/>
      <c r="GL280" s="13"/>
      <c r="GM280" s="14"/>
      <c r="GO280" s="65"/>
      <c r="GP280" s="13"/>
      <c r="GQ280" s="14"/>
      <c r="GS280" s="65"/>
      <c r="GT280" s="13"/>
      <c r="GU280" s="14"/>
      <c r="GW280" s="65"/>
      <c r="GX280" s="13"/>
      <c r="GY280" s="14"/>
      <c r="HA280" s="65"/>
      <c r="HB280" s="13"/>
      <c r="HC280" s="14"/>
      <c r="HE280" s="65"/>
      <c r="HF280" s="13"/>
      <c r="HG280" s="14"/>
      <c r="HI280" s="65"/>
      <c r="HJ280" s="13"/>
      <c r="HK280" s="14"/>
      <c r="HM280" s="65"/>
      <c r="HN280" s="13"/>
      <c r="HO280" s="14"/>
      <c r="HQ280" s="65"/>
      <c r="HR280" s="13"/>
      <c r="HS280" s="14"/>
      <c r="HU280" s="65"/>
      <c r="HV280" s="13"/>
      <c r="HW280" s="14"/>
      <c r="HY280" s="65"/>
      <c r="HZ280" s="13"/>
      <c r="IA280" s="14"/>
      <c r="IC280" s="65"/>
      <c r="ID280" s="13"/>
      <c r="IE280" s="14"/>
      <c r="IG280" s="65"/>
      <c r="IH280" s="13"/>
      <c r="II280" s="14"/>
      <c r="IK280" s="65"/>
      <c r="IL280" s="13"/>
      <c r="IM280" s="14"/>
      <c r="IO280" s="65"/>
      <c r="IP280" s="13"/>
      <c r="IQ280" s="14"/>
      <c r="IS280" s="65"/>
      <c r="IT280" s="13"/>
      <c r="IU280" s="14"/>
      <c r="IW280" s="65"/>
      <c r="IX280" s="13"/>
      <c r="IY280" s="14"/>
      <c r="JA280" s="65"/>
      <c r="JB280" s="13"/>
      <c r="JC280" s="14"/>
      <c r="JE280" s="65"/>
      <c r="JF280" s="13"/>
      <c r="JG280" s="14"/>
      <c r="JI280" s="65"/>
      <c r="JJ280" s="13"/>
      <c r="JK280" s="14"/>
      <c r="JM280" s="65"/>
      <c r="JN280" s="13"/>
      <c r="JO280" s="14"/>
      <c r="JQ280" s="65"/>
      <c r="JR280" s="13"/>
      <c r="JS280" s="14"/>
      <c r="JU280" s="65"/>
      <c r="JV280" s="13"/>
      <c r="JW280" s="14"/>
      <c r="JY280" s="65"/>
      <c r="JZ280" s="13"/>
      <c r="KA280" s="14"/>
      <c r="KC280" s="65"/>
      <c r="KD280" s="13"/>
      <c r="KE280" s="14"/>
      <c r="KG280" s="65"/>
      <c r="KH280" s="13"/>
      <c r="KI280" s="14"/>
      <c r="KK280" s="65"/>
      <c r="KL280" s="13"/>
      <c r="KM280" s="14"/>
      <c r="KO280" s="65"/>
      <c r="KP280" s="13"/>
      <c r="KQ280" s="14"/>
      <c r="KS280" s="65"/>
      <c r="KT280" s="13"/>
      <c r="KU280" s="14"/>
      <c r="KW280" s="65"/>
      <c r="KX280" s="13"/>
      <c r="KY280" s="14"/>
      <c r="LA280" s="65"/>
      <c r="LB280" s="13"/>
      <c r="LC280" s="14"/>
      <c r="LE280" s="65"/>
      <c r="LF280" s="13"/>
      <c r="LG280" s="14"/>
      <c r="LI280" s="65"/>
      <c r="LJ280" s="13"/>
      <c r="LK280" s="14"/>
      <c r="LM280" s="65"/>
      <c r="LN280" s="13"/>
      <c r="LO280" s="14"/>
      <c r="LQ280" s="65"/>
      <c r="LR280" s="13"/>
      <c r="LS280" s="14"/>
      <c r="LU280" s="65"/>
      <c r="LV280" s="13"/>
      <c r="LW280" s="14"/>
      <c r="LY280" s="65"/>
      <c r="LZ280" s="13"/>
      <c r="MA280" s="14"/>
      <c r="MC280" s="65"/>
      <c r="MD280" s="13"/>
      <c r="ME280" s="14"/>
      <c r="MG280" s="65"/>
      <c r="MH280" s="13"/>
      <c r="MI280" s="14"/>
      <c r="MK280" s="65"/>
      <c r="ML280" s="13"/>
      <c r="MM280" s="14"/>
      <c r="MO280" s="65"/>
      <c r="MP280" s="13"/>
      <c r="MQ280" s="14"/>
      <c r="MS280" s="65"/>
      <c r="MT280" s="13"/>
      <c r="MU280" s="14"/>
    </row>
    <row r="281" spans="1:359" hidden="1" x14ac:dyDescent="0.25">
      <c r="A281" s="15">
        <f>+AH32+AL25+AP22+AT22+AX20+BB20+BF19+BJ15+BN15+BR8</f>
        <v>19153673.389370687</v>
      </c>
      <c r="B281" s="20">
        <v>42975</v>
      </c>
      <c r="T281" s="15"/>
      <c r="U281" s="20"/>
      <c r="CK281" s="65"/>
      <c r="CL281" s="13"/>
      <c r="CO281" s="65"/>
      <c r="CP281" s="13"/>
      <c r="CS281" s="65"/>
      <c r="CT281" s="13"/>
      <c r="CW281" s="65"/>
      <c r="CX281" s="13"/>
      <c r="DA281" s="65"/>
      <c r="DB281" s="13"/>
      <c r="DE281" s="65"/>
      <c r="DF281" s="13"/>
      <c r="DI281" s="65"/>
      <c r="DJ281" s="13"/>
      <c r="DM281" s="65"/>
      <c r="DN281" s="13"/>
      <c r="DQ281" s="65"/>
      <c r="DR281" s="13"/>
      <c r="DU281" s="65"/>
      <c r="DV281" s="13"/>
      <c r="DY281" s="65"/>
      <c r="DZ281" s="13"/>
      <c r="EA281" s="14"/>
      <c r="EC281" s="65"/>
      <c r="ED281" s="13"/>
      <c r="EE281" s="14"/>
      <c r="EG281" s="65"/>
      <c r="EH281" s="13"/>
      <c r="EI281" s="14"/>
      <c r="EK281" s="65"/>
      <c r="EL281" s="13"/>
      <c r="EM281" s="14"/>
      <c r="EO281" s="65"/>
      <c r="EP281" s="13"/>
      <c r="EQ281" s="14"/>
      <c r="ES281" s="65"/>
      <c r="ET281" s="13"/>
      <c r="EU281" s="14"/>
      <c r="EW281" s="65"/>
      <c r="EX281" s="13"/>
      <c r="EY281" s="14"/>
      <c r="FA281" s="65"/>
      <c r="FB281" s="13"/>
      <c r="FC281" s="14"/>
      <c r="FE281" s="65"/>
      <c r="FF281" s="13"/>
      <c r="FG281" s="14"/>
      <c r="FI281" s="65"/>
      <c r="FJ281" s="13"/>
      <c r="FK281" s="14"/>
      <c r="FM281" s="65"/>
      <c r="FN281" s="13"/>
      <c r="FO281" s="14"/>
      <c r="FQ281" s="65"/>
      <c r="FR281" s="13"/>
      <c r="FS281" s="14"/>
      <c r="FU281" s="65"/>
      <c r="FV281" s="13"/>
      <c r="FW281" s="14"/>
      <c r="FY281" s="65"/>
      <c r="FZ281" s="13"/>
      <c r="GA281" s="14"/>
      <c r="GC281" s="65"/>
      <c r="GD281" s="13"/>
      <c r="GE281" s="14"/>
      <c r="GG281" s="65"/>
      <c r="GH281" s="13"/>
      <c r="GI281" s="14"/>
      <c r="GK281" s="65"/>
      <c r="GL281" s="13"/>
      <c r="GM281" s="14"/>
      <c r="GO281" s="65"/>
      <c r="GP281" s="13"/>
      <c r="GQ281" s="14"/>
      <c r="GS281" s="65"/>
      <c r="GT281" s="13"/>
      <c r="GU281" s="14"/>
      <c r="GW281" s="65"/>
      <c r="GX281" s="13"/>
      <c r="GY281" s="14"/>
      <c r="HA281" s="65"/>
      <c r="HB281" s="13"/>
      <c r="HC281" s="14"/>
      <c r="HE281" s="65"/>
      <c r="HF281" s="13"/>
      <c r="HG281" s="14"/>
      <c r="HI281" s="65"/>
      <c r="HJ281" s="13"/>
      <c r="HK281" s="14"/>
      <c r="HM281" s="65"/>
      <c r="HN281" s="13"/>
      <c r="HO281" s="14"/>
      <c r="HQ281" s="65"/>
      <c r="HR281" s="13"/>
      <c r="HS281" s="14"/>
      <c r="HU281" s="65"/>
      <c r="HV281" s="13"/>
      <c r="HW281" s="14"/>
      <c r="HY281" s="65"/>
      <c r="HZ281" s="13"/>
      <c r="IA281" s="14"/>
      <c r="IC281" s="65"/>
      <c r="ID281" s="13"/>
      <c r="IE281" s="14"/>
      <c r="IG281" s="65"/>
      <c r="IH281" s="13"/>
      <c r="II281" s="14"/>
      <c r="IK281" s="65"/>
      <c r="IL281" s="13"/>
      <c r="IM281" s="14"/>
      <c r="IO281" s="65"/>
      <c r="IP281" s="13"/>
      <c r="IQ281" s="14"/>
      <c r="IS281" s="65"/>
      <c r="IT281" s="13"/>
      <c r="IU281" s="14"/>
      <c r="IW281" s="65"/>
      <c r="IX281" s="13"/>
      <c r="IY281" s="14"/>
      <c r="JA281" s="65"/>
      <c r="JB281" s="13"/>
      <c r="JC281" s="14"/>
      <c r="JE281" s="65"/>
      <c r="JF281" s="13"/>
      <c r="JG281" s="14"/>
      <c r="JI281" s="65"/>
      <c r="JJ281" s="13"/>
      <c r="JK281" s="14"/>
      <c r="JM281" s="65"/>
      <c r="JN281" s="13"/>
      <c r="JO281" s="14"/>
      <c r="JQ281" s="65"/>
      <c r="JR281" s="13"/>
      <c r="JS281" s="14"/>
      <c r="JU281" s="65"/>
      <c r="JV281" s="13"/>
      <c r="JW281" s="14"/>
      <c r="JY281" s="65"/>
      <c r="JZ281" s="13"/>
      <c r="KA281" s="14"/>
      <c r="KC281" s="65"/>
      <c r="KD281" s="13"/>
      <c r="KE281" s="14"/>
      <c r="KG281" s="65"/>
      <c r="KH281" s="13"/>
      <c r="KI281" s="14"/>
      <c r="KK281" s="65"/>
      <c r="KL281" s="13"/>
      <c r="KM281" s="14"/>
      <c r="KO281" s="65"/>
      <c r="KP281" s="13"/>
      <c r="KQ281" s="14"/>
      <c r="KS281" s="65"/>
      <c r="KT281" s="13"/>
      <c r="KU281" s="14"/>
      <c r="KW281" s="65"/>
      <c r="KX281" s="13"/>
      <c r="KY281" s="14"/>
      <c r="LA281" s="65"/>
      <c r="LB281" s="13"/>
      <c r="LC281" s="14"/>
      <c r="LE281" s="65"/>
      <c r="LF281" s="13"/>
      <c r="LG281" s="14"/>
      <c r="LI281" s="65"/>
      <c r="LJ281" s="13"/>
      <c r="LK281" s="14"/>
      <c r="LM281" s="65"/>
      <c r="LN281" s="13"/>
      <c r="LO281" s="14"/>
      <c r="LQ281" s="65"/>
      <c r="LR281" s="13"/>
      <c r="LS281" s="14"/>
      <c r="LU281" s="65"/>
      <c r="LV281" s="13"/>
      <c r="LW281" s="14"/>
      <c r="LY281" s="65"/>
      <c r="LZ281" s="13"/>
      <c r="MA281" s="14"/>
      <c r="MC281" s="65"/>
      <c r="MD281" s="13"/>
      <c r="ME281" s="14"/>
      <c r="MG281" s="65"/>
      <c r="MH281" s="13"/>
      <c r="MI281" s="14"/>
      <c r="MK281" s="65"/>
      <c r="ML281" s="13"/>
      <c r="MM281" s="14"/>
      <c r="MO281" s="65"/>
      <c r="MP281" s="13"/>
      <c r="MQ281" s="14"/>
      <c r="MS281" s="65"/>
      <c r="MT281" s="13"/>
      <c r="MU281" s="14"/>
    </row>
    <row r="282" spans="1:359" hidden="1" x14ac:dyDescent="0.25">
      <c r="A282" s="15">
        <f t="shared" ref="A282:A289" si="199">+AH33+AL26+AP23+AT23+AX21+BB21+BF20+BJ16+BN16+BR9</f>
        <v>19154778.185565732</v>
      </c>
      <c r="B282" s="20">
        <v>42976</v>
      </c>
      <c r="T282" s="15"/>
      <c r="U282" s="20"/>
      <c r="CK282" s="65"/>
      <c r="CL282" s="13"/>
      <c r="CO282" s="65"/>
      <c r="CP282" s="13"/>
      <c r="CS282" s="65"/>
      <c r="CT282" s="13"/>
      <c r="CW282" s="65"/>
      <c r="CX282" s="13"/>
      <c r="DA282" s="65"/>
      <c r="DB282" s="13"/>
      <c r="DE282" s="65"/>
      <c r="DF282" s="13"/>
      <c r="DI282" s="65"/>
      <c r="DJ282" s="13"/>
      <c r="DM282" s="65"/>
      <c r="DN282" s="13"/>
      <c r="DQ282" s="65"/>
      <c r="DR282" s="13"/>
      <c r="DU282" s="65"/>
      <c r="DV282" s="13"/>
      <c r="DY282" s="65"/>
      <c r="DZ282" s="13"/>
      <c r="EA282" s="14"/>
      <c r="EC282" s="65"/>
      <c r="ED282" s="13"/>
      <c r="EE282" s="14"/>
      <c r="EG282" s="65"/>
      <c r="EH282" s="13"/>
      <c r="EI282" s="14"/>
      <c r="EK282" s="65"/>
      <c r="EL282" s="13"/>
      <c r="EM282" s="14"/>
      <c r="EO282" s="65"/>
      <c r="EP282" s="13"/>
      <c r="EQ282" s="14"/>
      <c r="ES282" s="65"/>
      <c r="ET282" s="13"/>
      <c r="EU282" s="14"/>
      <c r="EW282" s="65"/>
      <c r="EX282" s="13"/>
      <c r="EY282" s="14"/>
      <c r="FA282" s="65"/>
      <c r="FB282" s="13"/>
      <c r="FC282" s="14"/>
      <c r="FE282" s="65"/>
      <c r="FF282" s="13"/>
      <c r="FG282" s="14"/>
      <c r="FI282" s="65"/>
      <c r="FJ282" s="13"/>
      <c r="FK282" s="14"/>
      <c r="FM282" s="65"/>
      <c r="FN282" s="13"/>
      <c r="FO282" s="14"/>
      <c r="FQ282" s="65"/>
      <c r="FR282" s="13"/>
      <c r="FS282" s="14"/>
      <c r="FU282" s="65"/>
      <c r="FV282" s="13"/>
      <c r="FW282" s="14"/>
      <c r="FY282" s="65"/>
      <c r="FZ282" s="13"/>
      <c r="GA282" s="14"/>
      <c r="GC282" s="65"/>
      <c r="GD282" s="13"/>
      <c r="GE282" s="14"/>
      <c r="GG282" s="65"/>
      <c r="GH282" s="13"/>
      <c r="GI282" s="14"/>
      <c r="GK282" s="65"/>
      <c r="GL282" s="13"/>
      <c r="GM282" s="14"/>
      <c r="GO282" s="65"/>
      <c r="GP282" s="13"/>
      <c r="GQ282" s="14"/>
      <c r="GS282" s="65"/>
      <c r="GT282" s="13"/>
      <c r="GU282" s="14"/>
      <c r="GW282" s="65"/>
      <c r="GX282" s="13"/>
      <c r="GY282" s="14"/>
      <c r="HA282" s="65"/>
      <c r="HB282" s="13"/>
      <c r="HC282" s="14"/>
      <c r="HE282" s="65"/>
      <c r="HF282" s="13"/>
      <c r="HG282" s="14"/>
      <c r="HI282" s="65"/>
      <c r="HJ282" s="13"/>
      <c r="HK282" s="14"/>
      <c r="HM282" s="65"/>
      <c r="HN282" s="13"/>
      <c r="HO282" s="14"/>
      <c r="HQ282" s="65"/>
      <c r="HR282" s="13"/>
      <c r="HS282" s="14"/>
      <c r="HU282" s="65"/>
      <c r="HV282" s="13"/>
      <c r="HW282" s="14"/>
      <c r="HY282" s="65"/>
      <c r="HZ282" s="13"/>
      <c r="IA282" s="14"/>
      <c r="IC282" s="65"/>
      <c r="ID282" s="13"/>
      <c r="IE282" s="14"/>
      <c r="IG282" s="65"/>
      <c r="IH282" s="13"/>
      <c r="II282" s="14"/>
      <c r="IK282" s="65"/>
      <c r="IL282" s="13"/>
      <c r="IM282" s="14"/>
      <c r="IO282" s="65"/>
      <c r="IP282" s="13"/>
      <c r="IQ282" s="14"/>
      <c r="IS282" s="65"/>
      <c r="IT282" s="13"/>
      <c r="IU282" s="14"/>
      <c r="IW282" s="65"/>
      <c r="IX282" s="13"/>
      <c r="IY282" s="14"/>
      <c r="JA282" s="65"/>
      <c r="JB282" s="13"/>
      <c r="JC282" s="14"/>
      <c r="JE282" s="65"/>
      <c r="JF282" s="13"/>
      <c r="JG282" s="14"/>
      <c r="JI282" s="65"/>
      <c r="JJ282" s="13"/>
      <c r="JK282" s="14"/>
      <c r="JM282" s="65"/>
      <c r="JN282" s="13"/>
      <c r="JO282" s="14"/>
      <c r="JQ282" s="65"/>
      <c r="JR282" s="13"/>
      <c r="JS282" s="14"/>
      <c r="JU282" s="65"/>
      <c r="JV282" s="13"/>
      <c r="JW282" s="14"/>
      <c r="JY282" s="65"/>
      <c r="JZ282" s="13"/>
      <c r="KA282" s="14"/>
      <c r="KC282" s="65"/>
      <c r="KD282" s="13"/>
      <c r="KE282" s="14"/>
      <c r="KG282" s="65"/>
      <c r="KH282" s="13"/>
      <c r="KI282" s="14"/>
      <c r="KK282" s="65"/>
      <c r="KL282" s="13"/>
      <c r="KM282" s="14"/>
      <c r="KO282" s="65"/>
      <c r="KP282" s="13"/>
      <c r="KQ282" s="14"/>
      <c r="KS282" s="65"/>
      <c r="KT282" s="13"/>
      <c r="KU282" s="14"/>
      <c r="KW282" s="65"/>
      <c r="KX282" s="13"/>
      <c r="KY282" s="14"/>
      <c r="LA282" s="65"/>
      <c r="LB282" s="13"/>
      <c r="LC282" s="14"/>
      <c r="LE282" s="65"/>
      <c r="LF282" s="13"/>
      <c r="LG282" s="14"/>
      <c r="LI282" s="65"/>
      <c r="LJ282" s="13"/>
      <c r="LK282" s="14"/>
      <c r="LM282" s="65"/>
      <c r="LN282" s="13"/>
      <c r="LO282" s="14"/>
      <c r="LQ282" s="65"/>
      <c r="LR282" s="13"/>
      <c r="LS282" s="14"/>
      <c r="LU282" s="65"/>
      <c r="LV282" s="13"/>
      <c r="LW282" s="14"/>
      <c r="LY282" s="65"/>
      <c r="LZ282" s="13"/>
      <c r="MA282" s="14"/>
      <c r="MC282" s="65"/>
      <c r="MD282" s="13"/>
      <c r="ME282" s="14"/>
      <c r="MG282" s="65"/>
      <c r="MH282" s="13"/>
      <c r="MI282" s="14"/>
      <c r="MK282" s="65"/>
      <c r="ML282" s="13"/>
      <c r="MM282" s="14"/>
      <c r="MO282" s="65"/>
      <c r="MP282" s="13"/>
      <c r="MQ282" s="14"/>
      <c r="MS282" s="65"/>
      <c r="MT282" s="13"/>
      <c r="MU282" s="14"/>
    </row>
    <row r="283" spans="1:359" hidden="1" x14ac:dyDescent="0.25">
      <c r="A283" s="15">
        <f t="shared" si="199"/>
        <v>19155883.111051578</v>
      </c>
      <c r="B283" s="20">
        <v>42977</v>
      </c>
      <c r="T283" s="15"/>
      <c r="U283" s="20"/>
      <c r="CK283" s="65"/>
      <c r="CL283" s="13"/>
      <c r="CO283" s="65"/>
      <c r="CP283" s="13"/>
      <c r="CS283" s="65"/>
      <c r="CT283" s="13"/>
      <c r="CW283" s="65"/>
      <c r="CX283" s="13"/>
      <c r="DA283" s="65"/>
      <c r="DB283" s="13"/>
      <c r="DE283" s="65"/>
      <c r="DF283" s="13"/>
      <c r="DI283" s="65"/>
      <c r="DJ283" s="13"/>
      <c r="DM283" s="65"/>
      <c r="DN283" s="13"/>
      <c r="DQ283" s="65"/>
      <c r="DR283" s="13"/>
      <c r="DU283" s="65"/>
      <c r="DV283" s="13"/>
      <c r="DY283" s="65"/>
      <c r="DZ283" s="13"/>
      <c r="EA283" s="14"/>
      <c r="EC283" s="65"/>
      <c r="ED283" s="13"/>
      <c r="EE283" s="14"/>
      <c r="EG283" s="65"/>
      <c r="EH283" s="13"/>
      <c r="EI283" s="14"/>
      <c r="EK283" s="65"/>
      <c r="EL283" s="13"/>
      <c r="EM283" s="14"/>
      <c r="EO283" s="65"/>
      <c r="EP283" s="13"/>
      <c r="EQ283" s="14"/>
      <c r="ES283" s="65"/>
      <c r="ET283" s="13"/>
      <c r="EU283" s="14"/>
      <c r="EW283" s="65"/>
      <c r="EX283" s="13"/>
      <c r="EY283" s="14"/>
      <c r="FA283" s="65"/>
      <c r="FB283" s="13"/>
      <c r="FC283" s="14"/>
      <c r="FE283" s="65"/>
      <c r="FF283" s="13"/>
      <c r="FG283" s="14"/>
      <c r="FI283" s="65"/>
      <c r="FJ283" s="13"/>
      <c r="FK283" s="14"/>
      <c r="FM283" s="65"/>
      <c r="FN283" s="13"/>
      <c r="FO283" s="14"/>
      <c r="FQ283" s="65"/>
      <c r="FR283" s="13"/>
      <c r="FS283" s="14"/>
      <c r="FU283" s="65"/>
      <c r="FV283" s="13"/>
      <c r="FW283" s="14"/>
      <c r="FY283" s="65"/>
      <c r="FZ283" s="13"/>
      <c r="GA283" s="14"/>
      <c r="GC283" s="65"/>
      <c r="GD283" s="13"/>
      <c r="GE283" s="14"/>
      <c r="GG283" s="65"/>
      <c r="GH283" s="13"/>
      <c r="GI283" s="14"/>
      <c r="GK283" s="65"/>
      <c r="GL283" s="13"/>
      <c r="GM283" s="14"/>
      <c r="GO283" s="65"/>
      <c r="GP283" s="13"/>
      <c r="GQ283" s="14"/>
      <c r="GS283" s="65"/>
      <c r="GT283" s="13"/>
      <c r="GU283" s="14"/>
      <c r="GW283" s="65"/>
      <c r="GX283" s="13"/>
      <c r="GY283" s="14"/>
      <c r="HA283" s="65"/>
      <c r="HB283" s="13"/>
      <c r="HC283" s="14"/>
      <c r="HE283" s="65"/>
      <c r="HF283" s="13"/>
      <c r="HG283" s="14"/>
      <c r="HI283" s="65"/>
      <c r="HJ283" s="13"/>
      <c r="HK283" s="14"/>
      <c r="HM283" s="65"/>
      <c r="HN283" s="13"/>
      <c r="HO283" s="14"/>
      <c r="HQ283" s="65"/>
      <c r="HR283" s="13"/>
      <c r="HS283" s="14"/>
      <c r="HU283" s="65"/>
      <c r="HV283" s="13"/>
      <c r="HW283" s="14"/>
      <c r="HY283" s="65"/>
      <c r="HZ283" s="13"/>
      <c r="IA283" s="14"/>
      <c r="IC283" s="65"/>
      <c r="ID283" s="13"/>
      <c r="IE283" s="14"/>
      <c r="IG283" s="65"/>
      <c r="IH283" s="13"/>
      <c r="II283" s="14"/>
      <c r="IK283" s="65"/>
      <c r="IL283" s="13"/>
      <c r="IM283" s="14"/>
      <c r="IO283" s="65"/>
      <c r="IP283" s="13"/>
      <c r="IQ283" s="14"/>
      <c r="IS283" s="65"/>
      <c r="IT283" s="13"/>
      <c r="IU283" s="14"/>
      <c r="IW283" s="65"/>
      <c r="IX283" s="13"/>
      <c r="IY283" s="14"/>
      <c r="JA283" s="65"/>
      <c r="JB283" s="13"/>
      <c r="JC283" s="14"/>
      <c r="JE283" s="65"/>
      <c r="JF283" s="13"/>
      <c r="JG283" s="14"/>
      <c r="JI283" s="65"/>
      <c r="JJ283" s="13"/>
      <c r="JK283" s="14"/>
      <c r="JM283" s="65"/>
      <c r="JN283" s="13"/>
      <c r="JO283" s="14"/>
      <c r="JQ283" s="65"/>
      <c r="JR283" s="13"/>
      <c r="JS283" s="14"/>
      <c r="JU283" s="65"/>
      <c r="JV283" s="13"/>
      <c r="JW283" s="14"/>
      <c r="JY283" s="65"/>
      <c r="JZ283" s="13"/>
      <c r="KA283" s="14"/>
      <c r="KC283" s="65"/>
      <c r="KD283" s="13"/>
      <c r="KE283" s="14"/>
      <c r="KG283" s="65"/>
      <c r="KH283" s="13"/>
      <c r="KI283" s="14"/>
      <c r="KK283" s="65"/>
      <c r="KL283" s="13"/>
      <c r="KM283" s="14"/>
      <c r="KO283" s="65"/>
      <c r="KP283" s="13"/>
      <c r="KQ283" s="14"/>
      <c r="KS283" s="65"/>
      <c r="KT283" s="13"/>
      <c r="KU283" s="14"/>
      <c r="KW283" s="65"/>
      <c r="KX283" s="13"/>
      <c r="KY283" s="14"/>
      <c r="LA283" s="65"/>
      <c r="LB283" s="13"/>
      <c r="LC283" s="14"/>
      <c r="LE283" s="65"/>
      <c r="LF283" s="13"/>
      <c r="LG283" s="14"/>
      <c r="LI283" s="65"/>
      <c r="LJ283" s="13"/>
      <c r="LK283" s="14"/>
      <c r="LM283" s="65"/>
      <c r="LN283" s="13"/>
      <c r="LO283" s="14"/>
      <c r="LQ283" s="65"/>
      <c r="LR283" s="13"/>
      <c r="LS283" s="14"/>
      <c r="LU283" s="65"/>
      <c r="LV283" s="13"/>
      <c r="LW283" s="14"/>
      <c r="LY283" s="65"/>
      <c r="LZ283" s="13"/>
      <c r="MA283" s="14"/>
      <c r="MC283" s="65"/>
      <c r="MD283" s="13"/>
      <c r="ME283" s="14"/>
      <c r="MG283" s="65"/>
      <c r="MH283" s="13"/>
      <c r="MI283" s="14"/>
      <c r="MK283" s="65"/>
      <c r="ML283" s="13"/>
      <c r="MM283" s="14"/>
      <c r="MO283" s="65"/>
      <c r="MP283" s="13"/>
      <c r="MQ283" s="14"/>
      <c r="MS283" s="65"/>
      <c r="MT283" s="13"/>
      <c r="MU283" s="14"/>
    </row>
    <row r="284" spans="1:359" hidden="1" x14ac:dyDescent="0.25">
      <c r="A284" s="15">
        <f t="shared" si="199"/>
        <v>19156988.16585128</v>
      </c>
      <c r="B284" s="20">
        <v>42978</v>
      </c>
      <c r="T284" s="15"/>
      <c r="U284" s="20"/>
      <c r="CK284" s="65"/>
      <c r="CL284" s="13"/>
      <c r="CO284" s="65"/>
      <c r="CP284" s="13"/>
      <c r="CS284" s="65"/>
      <c r="CT284" s="13"/>
      <c r="CW284" s="65"/>
      <c r="CX284" s="13"/>
      <c r="DA284" s="65"/>
      <c r="DB284" s="13"/>
      <c r="DE284" s="65"/>
      <c r="DF284" s="13"/>
      <c r="DI284" s="65"/>
      <c r="DJ284" s="13"/>
      <c r="DM284" s="65"/>
      <c r="DN284" s="13"/>
      <c r="DQ284" s="65"/>
      <c r="DR284" s="13"/>
      <c r="DU284" s="65"/>
      <c r="DV284" s="13"/>
      <c r="DY284" s="65"/>
      <c r="DZ284" s="13"/>
      <c r="EA284" s="14"/>
      <c r="EC284" s="65"/>
      <c r="ED284" s="13"/>
      <c r="EE284" s="14"/>
      <c r="EG284" s="65"/>
      <c r="EH284" s="13"/>
      <c r="EI284" s="14"/>
      <c r="EK284" s="65"/>
      <c r="EL284" s="13"/>
      <c r="EM284" s="14"/>
      <c r="EO284" s="65"/>
      <c r="EP284" s="13"/>
      <c r="EQ284" s="14"/>
      <c r="ES284" s="65"/>
      <c r="ET284" s="13"/>
      <c r="EU284" s="14"/>
      <c r="EW284" s="65"/>
      <c r="EX284" s="13"/>
      <c r="EY284" s="14"/>
      <c r="FA284" s="65"/>
      <c r="FB284" s="13"/>
      <c r="FC284" s="14"/>
      <c r="FE284" s="65"/>
      <c r="FF284" s="13"/>
      <c r="FG284" s="14"/>
      <c r="FI284" s="65"/>
      <c r="FJ284" s="13"/>
      <c r="FK284" s="14"/>
      <c r="FM284" s="65"/>
      <c r="FN284" s="13"/>
      <c r="FO284" s="14"/>
      <c r="FQ284" s="65"/>
      <c r="FR284" s="13"/>
      <c r="FS284" s="14"/>
      <c r="FU284" s="65"/>
      <c r="FV284" s="13"/>
      <c r="FW284" s="14"/>
      <c r="FY284" s="65"/>
      <c r="FZ284" s="13"/>
      <c r="GA284" s="14"/>
      <c r="GC284" s="65"/>
      <c r="GD284" s="13"/>
      <c r="GE284" s="14"/>
      <c r="GG284" s="65"/>
      <c r="GH284" s="13"/>
      <c r="GI284" s="14"/>
      <c r="GK284" s="65"/>
      <c r="GL284" s="13"/>
      <c r="GM284" s="14"/>
      <c r="GO284" s="65"/>
      <c r="GP284" s="13"/>
      <c r="GQ284" s="14"/>
      <c r="GS284" s="65"/>
      <c r="GT284" s="13"/>
      <c r="GU284" s="14"/>
      <c r="GW284" s="65"/>
      <c r="GX284" s="13"/>
      <c r="GY284" s="14"/>
      <c r="HA284" s="65"/>
      <c r="HB284" s="13"/>
      <c r="HC284" s="14"/>
      <c r="HE284" s="65"/>
      <c r="HF284" s="13"/>
      <c r="HG284" s="14"/>
      <c r="HI284" s="65"/>
      <c r="HJ284" s="13"/>
      <c r="HK284" s="14"/>
      <c r="HM284" s="65"/>
      <c r="HN284" s="13"/>
      <c r="HO284" s="14"/>
      <c r="HQ284" s="65"/>
      <c r="HR284" s="13"/>
      <c r="HS284" s="14"/>
      <c r="HU284" s="65"/>
      <c r="HV284" s="13"/>
      <c r="HW284" s="14"/>
      <c r="HY284" s="65"/>
      <c r="HZ284" s="13"/>
      <c r="IA284" s="14"/>
      <c r="IC284" s="65"/>
      <c r="ID284" s="13"/>
      <c r="IE284" s="14"/>
      <c r="IG284" s="65"/>
      <c r="IH284" s="13"/>
      <c r="II284" s="14"/>
      <c r="IK284" s="65"/>
      <c r="IL284" s="13"/>
      <c r="IM284" s="14"/>
      <c r="IO284" s="65"/>
      <c r="IP284" s="13"/>
      <c r="IQ284" s="14"/>
      <c r="IS284" s="65"/>
      <c r="IT284" s="13"/>
      <c r="IU284" s="14"/>
      <c r="IW284" s="65"/>
      <c r="IX284" s="13"/>
      <c r="IY284" s="14"/>
      <c r="JA284" s="65"/>
      <c r="JB284" s="13"/>
      <c r="JC284" s="14"/>
      <c r="JE284" s="65"/>
      <c r="JF284" s="13"/>
      <c r="JG284" s="14"/>
      <c r="JI284" s="65"/>
      <c r="JJ284" s="13"/>
      <c r="JK284" s="14"/>
      <c r="JM284" s="65"/>
      <c r="JN284" s="13"/>
      <c r="JO284" s="14"/>
      <c r="JQ284" s="65"/>
      <c r="JR284" s="13"/>
      <c r="JS284" s="14"/>
      <c r="JU284" s="65"/>
      <c r="JV284" s="13"/>
      <c r="JW284" s="14"/>
      <c r="JY284" s="65"/>
      <c r="JZ284" s="13"/>
      <c r="KA284" s="14"/>
      <c r="KC284" s="65"/>
      <c r="KD284" s="13"/>
      <c r="KE284" s="14"/>
      <c r="KG284" s="65"/>
      <c r="KH284" s="13"/>
      <c r="KI284" s="14"/>
      <c r="KK284" s="65"/>
      <c r="KL284" s="13"/>
      <c r="KM284" s="14"/>
      <c r="KO284" s="65"/>
      <c r="KP284" s="13"/>
      <c r="KQ284" s="14"/>
      <c r="KS284" s="65"/>
      <c r="KT284" s="13"/>
      <c r="KU284" s="14"/>
      <c r="KW284" s="65"/>
      <c r="KX284" s="13"/>
      <c r="KY284" s="14"/>
      <c r="LA284" s="65"/>
      <c r="LB284" s="13"/>
      <c r="LC284" s="14"/>
      <c r="LE284" s="65"/>
      <c r="LF284" s="13"/>
      <c r="LG284" s="14"/>
      <c r="LI284" s="65"/>
      <c r="LJ284" s="13"/>
      <c r="LK284" s="14"/>
      <c r="LM284" s="65"/>
      <c r="LN284" s="13"/>
      <c r="LO284" s="14"/>
      <c r="LQ284" s="65"/>
      <c r="LR284" s="13"/>
      <c r="LS284" s="14"/>
      <c r="LU284" s="65"/>
      <c r="LV284" s="13"/>
      <c r="LW284" s="14"/>
      <c r="LY284" s="65"/>
      <c r="LZ284" s="13"/>
      <c r="MA284" s="14"/>
      <c r="MC284" s="65"/>
      <c r="MD284" s="13"/>
      <c r="ME284" s="14"/>
      <c r="MG284" s="65"/>
      <c r="MH284" s="13"/>
      <c r="MI284" s="14"/>
      <c r="MK284" s="65"/>
      <c r="ML284" s="13"/>
      <c r="MM284" s="14"/>
      <c r="MO284" s="65"/>
      <c r="MP284" s="13"/>
      <c r="MQ284" s="14"/>
      <c r="MS284" s="65"/>
      <c r="MT284" s="13"/>
      <c r="MU284" s="14"/>
    </row>
    <row r="285" spans="1:359" hidden="1" x14ac:dyDescent="0.25">
      <c r="A285" s="15">
        <f t="shared" si="199"/>
        <v>19158093.349987879</v>
      </c>
      <c r="B285" s="20">
        <v>42979</v>
      </c>
      <c r="T285" s="15"/>
      <c r="U285" s="20"/>
      <c r="DY285" s="65"/>
      <c r="DZ285" s="13"/>
      <c r="EA285" s="14"/>
      <c r="EC285" s="65"/>
      <c r="ED285" s="13"/>
      <c r="EE285" s="14"/>
      <c r="EG285" s="65"/>
      <c r="EH285" s="13"/>
      <c r="EI285" s="14"/>
      <c r="EK285" s="65"/>
      <c r="EL285" s="13"/>
      <c r="EM285" s="14"/>
      <c r="EO285" s="65"/>
      <c r="EP285" s="13"/>
      <c r="EQ285" s="14"/>
      <c r="ES285" s="65"/>
      <c r="ET285" s="13"/>
      <c r="EU285" s="14"/>
      <c r="EW285" s="65"/>
      <c r="EX285" s="13"/>
      <c r="EY285" s="14"/>
      <c r="FA285" s="65"/>
      <c r="FB285" s="13"/>
      <c r="FC285" s="14"/>
      <c r="FE285" s="65"/>
      <c r="FF285" s="13"/>
      <c r="FG285" s="14"/>
      <c r="FI285" s="65"/>
      <c r="FJ285" s="13"/>
      <c r="FK285" s="14"/>
      <c r="FM285" s="65"/>
      <c r="FN285" s="13"/>
      <c r="FO285" s="14"/>
      <c r="FQ285" s="65"/>
      <c r="FR285" s="13"/>
      <c r="FS285" s="14"/>
      <c r="FU285" s="65"/>
      <c r="FV285" s="13"/>
      <c r="FW285" s="14"/>
      <c r="FY285" s="65"/>
      <c r="FZ285" s="13"/>
      <c r="GA285" s="14"/>
      <c r="GC285" s="65"/>
      <c r="GD285" s="13"/>
      <c r="GE285" s="14"/>
      <c r="GG285" s="65"/>
      <c r="GH285" s="13"/>
      <c r="GI285" s="14"/>
      <c r="GK285" s="65"/>
      <c r="GL285" s="13"/>
      <c r="GM285" s="14"/>
      <c r="GO285" s="65"/>
      <c r="GP285" s="13"/>
      <c r="GQ285" s="14"/>
      <c r="GS285" s="65"/>
      <c r="GT285" s="13"/>
      <c r="GU285" s="14"/>
      <c r="GW285" s="65"/>
      <c r="GX285" s="13"/>
      <c r="GY285" s="14"/>
      <c r="HA285" s="65"/>
      <c r="HB285" s="13"/>
      <c r="HC285" s="14"/>
      <c r="HE285" s="65"/>
      <c r="HF285" s="13"/>
      <c r="HG285" s="14"/>
      <c r="HI285" s="65"/>
      <c r="HJ285" s="13"/>
      <c r="HK285" s="14"/>
      <c r="HM285" s="65"/>
      <c r="HN285" s="13"/>
      <c r="HO285" s="14"/>
      <c r="HQ285" s="65"/>
      <c r="HR285" s="13"/>
      <c r="HS285" s="14"/>
      <c r="HU285" s="65"/>
      <c r="HV285" s="13"/>
      <c r="HW285" s="14"/>
      <c r="HY285" s="65"/>
      <c r="HZ285" s="13"/>
      <c r="IA285" s="14"/>
      <c r="IC285" s="65"/>
      <c r="ID285" s="13"/>
      <c r="IE285" s="14"/>
      <c r="IG285" s="65"/>
      <c r="IH285" s="13"/>
      <c r="II285" s="14"/>
      <c r="IK285" s="65"/>
      <c r="IL285" s="13"/>
      <c r="IM285" s="14"/>
      <c r="IO285" s="65"/>
      <c r="IP285" s="13"/>
      <c r="IQ285" s="14"/>
      <c r="IS285" s="65"/>
      <c r="IT285" s="13"/>
      <c r="IU285" s="14"/>
      <c r="IW285" s="65"/>
      <c r="IX285" s="13"/>
      <c r="IY285" s="14"/>
      <c r="JA285" s="65"/>
      <c r="JB285" s="13"/>
      <c r="JC285" s="14"/>
      <c r="JE285" s="65"/>
      <c r="JF285" s="13"/>
      <c r="JG285" s="14"/>
      <c r="JI285" s="65"/>
      <c r="JJ285" s="13"/>
      <c r="JK285" s="14"/>
      <c r="JM285" s="65"/>
      <c r="JN285" s="13"/>
      <c r="JO285" s="14"/>
      <c r="JQ285" s="65"/>
      <c r="JR285" s="13"/>
      <c r="JS285" s="14"/>
      <c r="JU285" s="65"/>
      <c r="JV285" s="13"/>
      <c r="JW285" s="14"/>
      <c r="JY285" s="65"/>
      <c r="JZ285" s="13"/>
      <c r="KA285" s="14"/>
      <c r="KC285" s="65"/>
      <c r="KD285" s="13"/>
      <c r="KE285" s="14"/>
      <c r="KG285" s="65"/>
      <c r="KH285" s="13"/>
      <c r="KI285" s="14"/>
      <c r="KK285" s="65"/>
      <c r="KL285" s="13"/>
      <c r="KM285" s="14"/>
      <c r="KO285" s="65"/>
      <c r="KP285" s="13"/>
      <c r="KQ285" s="14"/>
      <c r="KS285" s="65"/>
      <c r="KT285" s="13"/>
      <c r="KU285" s="14"/>
      <c r="KW285" s="65"/>
      <c r="KX285" s="13"/>
      <c r="KY285" s="14"/>
      <c r="LA285" s="65"/>
      <c r="LB285" s="13"/>
      <c r="LC285" s="14"/>
      <c r="LE285" s="65"/>
      <c r="LF285" s="13"/>
      <c r="LG285" s="14"/>
      <c r="LI285" s="65"/>
      <c r="LJ285" s="13"/>
      <c r="LK285" s="14"/>
      <c r="LM285" s="65"/>
      <c r="LN285" s="13"/>
      <c r="LO285" s="14"/>
      <c r="LQ285" s="65"/>
      <c r="LR285" s="13"/>
      <c r="LS285" s="14"/>
      <c r="LU285" s="65"/>
      <c r="LV285" s="13"/>
      <c r="LW285" s="14"/>
      <c r="LY285" s="65"/>
      <c r="LZ285" s="13"/>
      <c r="MA285" s="14"/>
      <c r="MC285" s="65"/>
      <c r="MD285" s="13"/>
      <c r="ME285" s="14"/>
      <c r="MG285" s="65"/>
      <c r="MH285" s="13"/>
      <c r="MI285" s="14"/>
      <c r="MK285" s="65"/>
      <c r="ML285" s="13"/>
      <c r="MM285" s="14"/>
      <c r="MO285" s="65"/>
      <c r="MP285" s="13"/>
      <c r="MQ285" s="14"/>
      <c r="MS285" s="65"/>
      <c r="MT285" s="13"/>
      <c r="MU285" s="14"/>
    </row>
    <row r="286" spans="1:359" hidden="1" x14ac:dyDescent="0.25">
      <c r="A286" s="15">
        <f t="shared" si="199"/>
        <v>19159198.663484439</v>
      </c>
      <c r="B286" s="20">
        <v>42980</v>
      </c>
      <c r="T286" s="15"/>
      <c r="U286" s="20"/>
      <c r="DY286" s="65"/>
      <c r="DZ286" s="13"/>
      <c r="EA286" s="14"/>
      <c r="EC286" s="65"/>
      <c r="ED286" s="13"/>
      <c r="EE286" s="14"/>
      <c r="EG286" s="65"/>
      <c r="EH286" s="13"/>
      <c r="EI286" s="14"/>
      <c r="EK286" s="65"/>
      <c r="EL286" s="13"/>
      <c r="EM286" s="14"/>
      <c r="EO286" s="65"/>
      <c r="EP286" s="13"/>
      <c r="EQ286" s="14"/>
      <c r="ES286" s="65"/>
      <c r="ET286" s="13"/>
      <c r="EU286" s="14"/>
      <c r="EW286" s="65"/>
      <c r="EX286" s="13"/>
      <c r="EY286" s="14"/>
      <c r="FA286" s="65"/>
      <c r="FB286" s="13"/>
      <c r="FC286" s="14"/>
      <c r="FE286" s="65"/>
      <c r="FF286" s="13"/>
      <c r="FG286" s="14"/>
      <c r="FI286" s="65"/>
      <c r="FJ286" s="13"/>
      <c r="FK286" s="14"/>
      <c r="FM286" s="65"/>
      <c r="FN286" s="13"/>
      <c r="FO286" s="14"/>
      <c r="FQ286" s="65"/>
      <c r="FR286" s="13"/>
      <c r="FS286" s="14"/>
      <c r="FU286" s="65"/>
      <c r="FV286" s="13"/>
      <c r="FW286" s="14"/>
      <c r="FY286" s="65"/>
      <c r="FZ286" s="13"/>
      <c r="GA286" s="14"/>
      <c r="GC286" s="65"/>
      <c r="GD286" s="13"/>
      <c r="GE286" s="14"/>
      <c r="GG286" s="65"/>
      <c r="GH286" s="13"/>
      <c r="GI286" s="14"/>
      <c r="GK286" s="65"/>
      <c r="GL286" s="13"/>
      <c r="GM286" s="14"/>
      <c r="GO286" s="65"/>
      <c r="GP286" s="13"/>
      <c r="GQ286" s="14"/>
      <c r="GS286" s="65"/>
      <c r="GT286" s="13"/>
      <c r="GU286" s="14"/>
      <c r="GW286" s="65"/>
      <c r="GX286" s="13"/>
      <c r="GY286" s="14"/>
      <c r="HA286" s="65"/>
      <c r="HB286" s="13"/>
      <c r="HC286" s="14"/>
      <c r="HE286" s="65"/>
      <c r="HF286" s="13"/>
      <c r="HG286" s="14"/>
      <c r="HI286" s="65"/>
      <c r="HJ286" s="13"/>
      <c r="HK286" s="14"/>
      <c r="HM286" s="65"/>
      <c r="HN286" s="13"/>
      <c r="HO286" s="14"/>
      <c r="HQ286" s="65"/>
      <c r="HR286" s="13"/>
      <c r="HS286" s="14"/>
      <c r="HU286" s="65"/>
      <c r="HV286" s="13"/>
      <c r="HW286" s="14"/>
      <c r="HY286" s="65"/>
      <c r="HZ286" s="13"/>
      <c r="IA286" s="14"/>
      <c r="IC286" s="65"/>
      <c r="ID286" s="13"/>
      <c r="IE286" s="14"/>
      <c r="IG286" s="65"/>
      <c r="IH286" s="13"/>
      <c r="II286" s="14"/>
      <c r="IK286" s="65"/>
      <c r="IL286" s="13"/>
      <c r="IM286" s="14"/>
      <c r="IO286" s="65"/>
      <c r="IP286" s="13"/>
      <c r="IQ286" s="14"/>
      <c r="IS286" s="65"/>
      <c r="IT286" s="13"/>
      <c r="IU286" s="14"/>
      <c r="IW286" s="65"/>
      <c r="IX286" s="13"/>
      <c r="IY286" s="14"/>
      <c r="JA286" s="65"/>
      <c r="JB286" s="13"/>
      <c r="JC286" s="14"/>
      <c r="JE286" s="65"/>
      <c r="JF286" s="13"/>
      <c r="JG286" s="14"/>
      <c r="JI286" s="65"/>
      <c r="JJ286" s="13"/>
      <c r="JK286" s="14"/>
      <c r="JM286" s="65"/>
      <c r="JN286" s="13"/>
      <c r="JO286" s="14"/>
      <c r="JQ286" s="65"/>
      <c r="JR286" s="13"/>
      <c r="JS286" s="14"/>
      <c r="JU286" s="65"/>
      <c r="JV286" s="13"/>
      <c r="JW286" s="14"/>
      <c r="JY286" s="65"/>
      <c r="JZ286" s="13"/>
      <c r="KA286" s="14"/>
      <c r="KC286" s="65"/>
      <c r="KD286" s="13"/>
      <c r="KE286" s="14"/>
      <c r="KG286" s="65"/>
      <c r="KH286" s="13"/>
      <c r="KI286" s="14"/>
      <c r="KK286" s="65"/>
      <c r="KL286" s="13"/>
      <c r="KM286" s="14"/>
      <c r="KO286" s="65"/>
      <c r="KP286" s="13"/>
      <c r="KQ286" s="14"/>
      <c r="KS286" s="65"/>
      <c r="KT286" s="13"/>
      <c r="KU286" s="14"/>
      <c r="KW286" s="65"/>
      <c r="KX286" s="13"/>
      <c r="KY286" s="14"/>
      <c r="LA286" s="65"/>
      <c r="LB286" s="13"/>
      <c r="LC286" s="14"/>
      <c r="LE286" s="65"/>
      <c r="LF286" s="13"/>
      <c r="LG286" s="14"/>
      <c r="LI286" s="65"/>
      <c r="LJ286" s="13"/>
      <c r="LK286" s="14"/>
      <c r="LM286" s="65"/>
      <c r="LN286" s="13"/>
      <c r="LO286" s="14"/>
      <c r="LQ286" s="65"/>
      <c r="LR286" s="13"/>
      <c r="LS286" s="14"/>
      <c r="LU286" s="65"/>
      <c r="LV286" s="13"/>
      <c r="LW286" s="14"/>
      <c r="LY286" s="65"/>
      <c r="LZ286" s="13"/>
      <c r="MA286" s="14"/>
      <c r="MC286" s="65"/>
      <c r="MD286" s="13"/>
      <c r="ME286" s="14"/>
      <c r="MG286" s="65"/>
      <c r="MH286" s="13"/>
      <c r="MI286" s="14"/>
      <c r="MK286" s="65"/>
      <c r="ML286" s="13"/>
      <c r="MM286" s="14"/>
      <c r="MO286" s="65"/>
      <c r="MP286" s="13"/>
      <c r="MQ286" s="14"/>
      <c r="MS286" s="65"/>
      <c r="MT286" s="13"/>
      <c r="MU286" s="14"/>
    </row>
    <row r="287" spans="1:359" hidden="1" x14ac:dyDescent="0.25">
      <c r="A287" s="15">
        <f t="shared" si="199"/>
        <v>19160304.106364019</v>
      </c>
      <c r="B287" s="20">
        <v>42981</v>
      </c>
      <c r="T287" s="15"/>
      <c r="U287" s="20"/>
      <c r="DY287" s="65"/>
      <c r="DZ287" s="13"/>
      <c r="EA287" s="14"/>
      <c r="EC287" s="65"/>
      <c r="ED287" s="13"/>
      <c r="EE287" s="14"/>
      <c r="EG287" s="65"/>
      <c r="EH287" s="13"/>
      <c r="EI287" s="14"/>
      <c r="EK287" s="65"/>
      <c r="EL287" s="13"/>
      <c r="EM287" s="14"/>
      <c r="EO287" s="65"/>
      <c r="EP287" s="13"/>
      <c r="EQ287" s="14"/>
      <c r="ES287" s="65"/>
      <c r="ET287" s="13"/>
      <c r="EU287" s="14"/>
      <c r="EW287" s="65"/>
      <c r="EX287" s="13"/>
      <c r="EY287" s="14"/>
      <c r="FA287" s="65"/>
      <c r="FB287" s="13"/>
      <c r="FC287" s="14"/>
      <c r="FE287" s="65"/>
      <c r="FF287" s="13"/>
      <c r="FG287" s="14"/>
      <c r="FI287" s="65"/>
      <c r="FJ287" s="13"/>
      <c r="FK287" s="14"/>
      <c r="FM287" s="65"/>
      <c r="FN287" s="13"/>
      <c r="FO287" s="14"/>
      <c r="FQ287" s="65"/>
      <c r="FR287" s="13"/>
      <c r="FS287" s="14"/>
      <c r="FU287" s="65"/>
      <c r="FV287" s="13"/>
      <c r="FW287" s="14"/>
      <c r="FY287" s="65"/>
      <c r="FZ287" s="13"/>
      <c r="GA287" s="14"/>
      <c r="GC287" s="65"/>
      <c r="GD287" s="13"/>
      <c r="GE287" s="14"/>
      <c r="GG287" s="65"/>
      <c r="GH287" s="13"/>
      <c r="GI287" s="14"/>
      <c r="GK287" s="65"/>
      <c r="GL287" s="13"/>
      <c r="GM287" s="14"/>
      <c r="GO287" s="65"/>
      <c r="GP287" s="13"/>
      <c r="GQ287" s="14"/>
      <c r="GS287" s="65"/>
      <c r="GT287" s="13"/>
      <c r="GU287" s="14"/>
      <c r="GW287" s="65"/>
      <c r="GX287" s="13"/>
      <c r="GY287" s="14"/>
      <c r="HA287" s="65"/>
      <c r="HB287" s="13"/>
      <c r="HC287" s="14"/>
      <c r="HE287" s="65"/>
      <c r="HF287" s="13"/>
      <c r="HG287" s="14"/>
      <c r="HI287" s="65"/>
      <c r="HJ287" s="13"/>
      <c r="HK287" s="14"/>
      <c r="HM287" s="65"/>
      <c r="HN287" s="13"/>
      <c r="HO287" s="14"/>
      <c r="HQ287" s="65"/>
      <c r="HR287" s="13"/>
      <c r="HS287" s="14"/>
      <c r="HU287" s="65"/>
      <c r="HV287" s="13"/>
      <c r="HW287" s="14"/>
      <c r="HY287" s="65"/>
      <c r="HZ287" s="13"/>
      <c r="IA287" s="14"/>
      <c r="IC287" s="65"/>
      <c r="ID287" s="13"/>
      <c r="IE287" s="14"/>
      <c r="IG287" s="65"/>
      <c r="IH287" s="13"/>
      <c r="II287" s="14"/>
      <c r="IK287" s="65"/>
      <c r="IL287" s="13"/>
      <c r="IM287" s="14"/>
      <c r="IO287" s="65"/>
      <c r="IP287" s="13"/>
      <c r="IQ287" s="14"/>
      <c r="IS287" s="65"/>
      <c r="IT287" s="13"/>
      <c r="IU287" s="14"/>
      <c r="IW287" s="65"/>
      <c r="IX287" s="13"/>
      <c r="IY287" s="14"/>
      <c r="JA287" s="65"/>
      <c r="JB287" s="13"/>
      <c r="JC287" s="14"/>
      <c r="JE287" s="65"/>
      <c r="JF287" s="13"/>
      <c r="JG287" s="14"/>
      <c r="JI287" s="65"/>
      <c r="JJ287" s="13"/>
      <c r="JK287" s="14"/>
      <c r="JM287" s="65"/>
      <c r="JN287" s="13"/>
      <c r="JO287" s="14"/>
      <c r="JQ287" s="65"/>
      <c r="JR287" s="13"/>
      <c r="JS287" s="14"/>
      <c r="JU287" s="65"/>
      <c r="JV287" s="13"/>
      <c r="JW287" s="14"/>
      <c r="JY287" s="65"/>
      <c r="JZ287" s="13"/>
      <c r="KA287" s="14"/>
      <c r="KC287" s="65"/>
      <c r="KD287" s="13"/>
      <c r="KE287" s="14"/>
      <c r="KG287" s="65"/>
      <c r="KH287" s="13"/>
      <c r="KI287" s="14"/>
      <c r="KK287" s="65"/>
      <c r="KL287" s="13"/>
      <c r="KM287" s="14"/>
      <c r="KO287" s="65"/>
      <c r="KP287" s="13"/>
      <c r="KQ287" s="14"/>
      <c r="KS287" s="65"/>
      <c r="KT287" s="13"/>
      <c r="KU287" s="14"/>
      <c r="KW287" s="65"/>
      <c r="KX287" s="13"/>
      <c r="KY287" s="14"/>
      <c r="LA287" s="65"/>
      <c r="LB287" s="13"/>
      <c r="LC287" s="14"/>
      <c r="LE287" s="65"/>
      <c r="LF287" s="13"/>
      <c r="LG287" s="14"/>
      <c r="LI287" s="65"/>
      <c r="LJ287" s="13"/>
      <c r="LK287" s="14"/>
      <c r="LM287" s="65"/>
      <c r="LN287" s="13"/>
      <c r="LO287" s="14"/>
      <c r="LQ287" s="65"/>
      <c r="LR287" s="13"/>
      <c r="LS287" s="14"/>
      <c r="LU287" s="65"/>
      <c r="LV287" s="13"/>
      <c r="LW287" s="14"/>
      <c r="LY287" s="65"/>
      <c r="LZ287" s="13"/>
      <c r="MA287" s="14"/>
      <c r="MC287" s="65"/>
      <c r="MD287" s="13"/>
      <c r="ME287" s="14"/>
      <c r="MG287" s="65"/>
      <c r="MH287" s="13"/>
      <c r="MI287" s="14"/>
      <c r="MK287" s="65"/>
      <c r="ML287" s="13"/>
      <c r="MM287" s="14"/>
      <c r="MO287" s="65"/>
      <c r="MP287" s="13"/>
      <c r="MQ287" s="14"/>
      <c r="MS287" s="65"/>
      <c r="MT287" s="13"/>
      <c r="MU287" s="14"/>
    </row>
    <row r="288" spans="1:359" hidden="1" x14ac:dyDescent="0.25">
      <c r="A288" s="15">
        <f t="shared" si="199"/>
        <v>19161409.678649683</v>
      </c>
      <c r="B288" s="20">
        <v>42982</v>
      </c>
      <c r="T288" s="15"/>
      <c r="U288" s="20"/>
      <c r="DY288" s="65"/>
      <c r="DZ288" s="13"/>
      <c r="EA288" s="14"/>
      <c r="EC288" s="65"/>
      <c r="ED288" s="13"/>
      <c r="EE288" s="14"/>
      <c r="EG288" s="65"/>
      <c r="EH288" s="13"/>
      <c r="EI288" s="14"/>
      <c r="EK288" s="65"/>
      <c r="EL288" s="13"/>
      <c r="EM288" s="14"/>
      <c r="EO288" s="65"/>
      <c r="EP288" s="13"/>
      <c r="EQ288" s="14"/>
      <c r="ES288" s="65"/>
      <c r="ET288" s="13"/>
      <c r="EU288" s="14"/>
      <c r="EW288" s="65"/>
      <c r="EX288" s="13"/>
      <c r="EY288" s="14"/>
      <c r="FA288" s="65"/>
      <c r="FB288" s="13"/>
      <c r="FC288" s="14"/>
      <c r="FE288" s="65"/>
      <c r="FF288" s="13"/>
      <c r="FG288" s="14"/>
      <c r="FI288" s="65"/>
      <c r="FJ288" s="13"/>
      <c r="FK288" s="14"/>
      <c r="FM288" s="65"/>
      <c r="FN288" s="13"/>
      <c r="FO288" s="14"/>
      <c r="FQ288" s="65"/>
      <c r="FR288" s="13"/>
      <c r="FS288" s="14"/>
      <c r="FU288" s="65"/>
      <c r="FV288" s="13"/>
      <c r="FW288" s="14"/>
      <c r="FY288" s="65"/>
      <c r="FZ288" s="13"/>
      <c r="GA288" s="14"/>
      <c r="GC288" s="65"/>
      <c r="GD288" s="13"/>
      <c r="GE288" s="14"/>
      <c r="GG288" s="65"/>
      <c r="GH288" s="13"/>
      <c r="GI288" s="14"/>
      <c r="GK288" s="65"/>
      <c r="GL288" s="13"/>
      <c r="GM288" s="14"/>
      <c r="GO288" s="65"/>
      <c r="GP288" s="13"/>
      <c r="GQ288" s="14"/>
      <c r="GS288" s="65"/>
      <c r="GT288" s="13"/>
      <c r="GU288" s="14"/>
      <c r="GW288" s="65"/>
      <c r="GX288" s="13"/>
      <c r="GY288" s="14"/>
      <c r="HA288" s="65"/>
      <c r="HB288" s="13"/>
      <c r="HC288" s="14"/>
      <c r="HE288" s="65"/>
      <c r="HF288" s="13"/>
      <c r="HG288" s="14"/>
      <c r="HI288" s="65"/>
      <c r="HJ288" s="13"/>
      <c r="HK288" s="14"/>
      <c r="HM288" s="65"/>
      <c r="HN288" s="13"/>
      <c r="HO288" s="14"/>
      <c r="HQ288" s="65"/>
      <c r="HR288" s="13"/>
      <c r="HS288" s="14"/>
      <c r="HU288" s="65"/>
      <c r="HV288" s="13"/>
      <c r="HW288" s="14"/>
      <c r="HY288" s="65"/>
      <c r="HZ288" s="13"/>
      <c r="IA288" s="14"/>
      <c r="IC288" s="65"/>
      <c r="ID288" s="13"/>
      <c r="IE288" s="14"/>
      <c r="IG288" s="65"/>
      <c r="IH288" s="13"/>
      <c r="II288" s="14"/>
      <c r="IK288" s="65"/>
      <c r="IL288" s="13"/>
      <c r="IM288" s="14"/>
      <c r="IO288" s="65"/>
      <c r="IP288" s="13"/>
      <c r="IQ288" s="14"/>
      <c r="IS288" s="65"/>
      <c r="IT288" s="13"/>
      <c r="IU288" s="14"/>
      <c r="IW288" s="65"/>
      <c r="IX288" s="13"/>
      <c r="IY288" s="14"/>
      <c r="JA288" s="65"/>
      <c r="JB288" s="13"/>
      <c r="JC288" s="14"/>
      <c r="JE288" s="65"/>
      <c r="JF288" s="13"/>
      <c r="JG288" s="14"/>
      <c r="JI288" s="65"/>
      <c r="JJ288" s="13"/>
      <c r="JK288" s="14"/>
      <c r="JM288" s="65"/>
      <c r="JN288" s="13"/>
      <c r="JO288" s="14"/>
      <c r="JQ288" s="65"/>
      <c r="JR288" s="13"/>
      <c r="JS288" s="14"/>
      <c r="JU288" s="65"/>
      <c r="JV288" s="13"/>
      <c r="JW288" s="14"/>
      <c r="JY288" s="65"/>
      <c r="JZ288" s="13"/>
      <c r="KA288" s="14"/>
      <c r="KC288" s="65"/>
      <c r="KD288" s="13"/>
      <c r="KE288" s="14"/>
      <c r="KG288" s="65"/>
      <c r="KH288" s="13"/>
      <c r="KI288" s="14"/>
      <c r="KK288" s="65"/>
      <c r="KL288" s="13"/>
      <c r="KM288" s="14"/>
      <c r="KO288" s="65"/>
      <c r="KP288" s="13"/>
      <c r="KQ288" s="14"/>
      <c r="KS288" s="65"/>
      <c r="KT288" s="13"/>
      <c r="KU288" s="14"/>
      <c r="KW288" s="65"/>
      <c r="KX288" s="13"/>
      <c r="KY288" s="14"/>
      <c r="LA288" s="65"/>
      <c r="LB288" s="13"/>
      <c r="LC288" s="14"/>
      <c r="LE288" s="65"/>
      <c r="LF288" s="13"/>
      <c r="LG288" s="14"/>
      <c r="LI288" s="65"/>
      <c r="LJ288" s="13"/>
      <c r="LK288" s="14"/>
      <c r="LM288" s="65"/>
      <c r="LN288" s="13"/>
      <c r="LO288" s="14"/>
      <c r="LQ288" s="65"/>
      <c r="LR288" s="13"/>
      <c r="LS288" s="14"/>
      <c r="LU288" s="65"/>
      <c r="LV288" s="13"/>
      <c r="LW288" s="14"/>
      <c r="LY288" s="65"/>
      <c r="LZ288" s="13"/>
      <c r="MA288" s="14"/>
      <c r="MC288" s="65"/>
      <c r="MD288" s="13"/>
      <c r="ME288" s="14"/>
      <c r="MG288" s="65"/>
      <c r="MH288" s="13"/>
      <c r="MI288" s="14"/>
      <c r="MK288" s="65"/>
      <c r="ML288" s="13"/>
      <c r="MM288" s="14"/>
      <c r="MO288" s="65"/>
      <c r="MP288" s="13"/>
      <c r="MQ288" s="14"/>
      <c r="MS288" s="65"/>
      <c r="MT288" s="13"/>
      <c r="MU288" s="14"/>
    </row>
    <row r="289" spans="1:359" hidden="1" x14ac:dyDescent="0.25">
      <c r="A289" s="15">
        <f t="shared" si="199"/>
        <v>19162515.380364504</v>
      </c>
      <c r="B289" s="20">
        <v>42983</v>
      </c>
      <c r="T289" s="15"/>
      <c r="U289" s="20"/>
      <c r="DY289" s="65"/>
      <c r="DZ289" s="13"/>
      <c r="EA289" s="14"/>
      <c r="EC289" s="65"/>
      <c r="ED289" s="13"/>
      <c r="EE289" s="14"/>
      <c r="EG289" s="65"/>
      <c r="EH289" s="13"/>
      <c r="EI289" s="14"/>
      <c r="EK289" s="65"/>
      <c r="EL289" s="13"/>
      <c r="EM289" s="14"/>
      <c r="EO289" s="65"/>
      <c r="EP289" s="13"/>
      <c r="EQ289" s="14"/>
      <c r="ES289" s="65"/>
      <c r="ET289" s="13"/>
      <c r="EU289" s="14"/>
      <c r="EW289" s="65"/>
      <c r="EX289" s="13"/>
      <c r="EY289" s="14"/>
      <c r="FA289" s="65"/>
      <c r="FB289" s="13"/>
      <c r="FC289" s="14"/>
      <c r="FE289" s="65"/>
      <c r="FF289" s="13"/>
      <c r="FG289" s="14"/>
      <c r="FI289" s="65"/>
      <c r="FJ289" s="13"/>
      <c r="FK289" s="14"/>
      <c r="FM289" s="65"/>
      <c r="FN289" s="13"/>
      <c r="FO289" s="14"/>
      <c r="FQ289" s="65"/>
      <c r="FR289" s="13"/>
      <c r="FS289" s="14"/>
      <c r="FU289" s="65"/>
      <c r="FV289" s="13"/>
      <c r="FW289" s="14"/>
      <c r="FY289" s="65"/>
      <c r="FZ289" s="13"/>
      <c r="GA289" s="14"/>
      <c r="GC289" s="65"/>
      <c r="GD289" s="13"/>
      <c r="GE289" s="14"/>
      <c r="GG289" s="65"/>
      <c r="GH289" s="13"/>
      <c r="GI289" s="14"/>
      <c r="GK289" s="65"/>
      <c r="GL289" s="13"/>
      <c r="GM289" s="14"/>
      <c r="GO289" s="65"/>
      <c r="GP289" s="13"/>
      <c r="GQ289" s="14"/>
      <c r="GS289" s="65"/>
      <c r="GT289" s="13"/>
      <c r="GU289" s="14"/>
      <c r="GW289" s="65"/>
      <c r="GX289" s="13"/>
      <c r="GY289" s="14"/>
      <c r="HA289" s="65"/>
      <c r="HB289" s="13"/>
      <c r="HC289" s="14"/>
      <c r="HE289" s="65"/>
      <c r="HF289" s="13"/>
      <c r="HG289" s="14"/>
      <c r="HI289" s="65"/>
      <c r="HJ289" s="13"/>
      <c r="HK289" s="14"/>
      <c r="HM289" s="65"/>
      <c r="HN289" s="13"/>
      <c r="HO289" s="14"/>
      <c r="HQ289" s="65"/>
      <c r="HR289" s="13"/>
      <c r="HS289" s="14"/>
      <c r="HU289" s="65"/>
      <c r="HV289" s="13"/>
      <c r="HW289" s="14"/>
      <c r="HY289" s="65"/>
      <c r="HZ289" s="13"/>
      <c r="IA289" s="14"/>
      <c r="IC289" s="65"/>
      <c r="ID289" s="13"/>
      <c r="IE289" s="14"/>
      <c r="IG289" s="65"/>
      <c r="IH289" s="13"/>
      <c r="II289" s="14"/>
      <c r="IK289" s="65"/>
      <c r="IL289" s="13"/>
      <c r="IM289" s="14"/>
      <c r="IO289" s="65"/>
      <c r="IP289" s="13"/>
      <c r="IQ289" s="14"/>
      <c r="IS289" s="65"/>
      <c r="IT289" s="13"/>
      <c r="IU289" s="14"/>
      <c r="IW289" s="65"/>
      <c r="IX289" s="13"/>
      <c r="IY289" s="14"/>
      <c r="JA289" s="65"/>
      <c r="JB289" s="13"/>
      <c r="JC289" s="14"/>
      <c r="JE289" s="65"/>
      <c r="JF289" s="13"/>
      <c r="JG289" s="14"/>
      <c r="JI289" s="65"/>
      <c r="JJ289" s="13"/>
      <c r="JK289" s="14"/>
      <c r="JM289" s="65"/>
      <c r="JN289" s="13"/>
      <c r="JO289" s="14"/>
      <c r="JQ289" s="65"/>
      <c r="JR289" s="13"/>
      <c r="JS289" s="14"/>
      <c r="JU289" s="65"/>
      <c r="JV289" s="13"/>
      <c r="JW289" s="14"/>
      <c r="JY289" s="65"/>
      <c r="JZ289" s="13"/>
      <c r="KA289" s="14"/>
      <c r="KC289" s="65"/>
      <c r="KD289" s="13"/>
      <c r="KE289" s="14"/>
      <c r="KG289" s="65"/>
      <c r="KH289" s="13"/>
      <c r="KI289" s="14"/>
      <c r="KK289" s="65"/>
      <c r="KL289" s="13"/>
      <c r="KM289" s="14"/>
      <c r="KO289" s="65"/>
      <c r="KP289" s="13"/>
      <c r="KQ289" s="14"/>
      <c r="KS289" s="65"/>
      <c r="KT289" s="13"/>
      <c r="KU289" s="14"/>
      <c r="KW289" s="65"/>
      <c r="KX289" s="13"/>
      <c r="KY289" s="14"/>
      <c r="LA289" s="65"/>
      <c r="LB289" s="13"/>
      <c r="LC289" s="14"/>
      <c r="LE289" s="65"/>
      <c r="LF289" s="13"/>
      <c r="LG289" s="14"/>
      <c r="LI289" s="65"/>
      <c r="LJ289" s="13"/>
      <c r="LK289" s="14"/>
      <c r="LM289" s="65"/>
      <c r="LN289" s="13"/>
      <c r="LO289" s="14"/>
      <c r="LQ289" s="65"/>
      <c r="LR289" s="13"/>
      <c r="LS289" s="14"/>
      <c r="LU289" s="65"/>
      <c r="LV289" s="13"/>
      <c r="LW289" s="14"/>
      <c r="LY289" s="65"/>
      <c r="LZ289" s="13"/>
      <c r="MA289" s="14"/>
      <c r="MC289" s="65"/>
      <c r="MD289" s="13"/>
      <c r="ME289" s="14"/>
      <c r="MG289" s="65"/>
      <c r="MH289" s="13"/>
      <c r="MI289" s="14"/>
      <c r="MK289" s="65"/>
      <c r="ML289" s="13"/>
      <c r="MM289" s="14"/>
      <c r="MO289" s="65"/>
      <c r="MP289" s="13"/>
      <c r="MQ289" s="14"/>
      <c r="MS289" s="65"/>
      <c r="MT289" s="13"/>
      <c r="MU289" s="14"/>
    </row>
    <row r="290" spans="1:359" hidden="1" x14ac:dyDescent="0.25">
      <c r="A290" s="15">
        <f>+AH41+AL34+AP31+AT31+AX29+BB29+BF28+BJ24+BN24+BR17+BV8+BZ8</f>
        <v>20847001.830475338</v>
      </c>
      <c r="B290" s="20">
        <v>42984</v>
      </c>
      <c r="T290" s="15"/>
      <c r="U290" s="20"/>
      <c r="DY290" s="65"/>
      <c r="DZ290" s="13"/>
      <c r="EA290" s="14"/>
      <c r="EC290" s="65"/>
      <c r="ED290" s="13"/>
      <c r="EE290" s="14"/>
      <c r="EG290" s="65"/>
      <c r="EH290" s="13"/>
      <c r="EI290" s="14"/>
      <c r="EK290" s="65"/>
      <c r="EL290" s="13"/>
      <c r="EM290" s="14"/>
      <c r="EO290" s="65"/>
      <c r="EP290" s="13"/>
      <c r="EQ290" s="14"/>
      <c r="ES290" s="65"/>
      <c r="ET290" s="13"/>
      <c r="EU290" s="14"/>
      <c r="EW290" s="65"/>
      <c r="EX290" s="13"/>
      <c r="EY290" s="14"/>
      <c r="FA290" s="65"/>
      <c r="FB290" s="13"/>
      <c r="FC290" s="14"/>
      <c r="FE290" s="65"/>
      <c r="FF290" s="13"/>
      <c r="FG290" s="14"/>
      <c r="FI290" s="65"/>
      <c r="FJ290" s="13"/>
      <c r="FK290" s="14"/>
      <c r="FM290" s="65"/>
      <c r="FN290" s="13"/>
      <c r="FO290" s="14"/>
      <c r="FQ290" s="65"/>
      <c r="FR290" s="13"/>
      <c r="FS290" s="14"/>
      <c r="FU290" s="65"/>
      <c r="FV290" s="13"/>
      <c r="FW290" s="14"/>
      <c r="FY290" s="65"/>
      <c r="FZ290" s="13"/>
      <c r="GA290" s="14"/>
      <c r="GC290" s="65"/>
      <c r="GD290" s="13"/>
      <c r="GE290" s="14"/>
      <c r="GG290" s="65"/>
      <c r="GH290" s="13"/>
      <c r="GI290" s="14"/>
      <c r="GK290" s="65"/>
      <c r="GL290" s="13"/>
      <c r="GM290" s="14"/>
      <c r="GO290" s="65"/>
      <c r="GP290" s="13"/>
      <c r="GQ290" s="14"/>
      <c r="GS290" s="65"/>
      <c r="GT290" s="13"/>
      <c r="GU290" s="14"/>
      <c r="GW290" s="65"/>
      <c r="GX290" s="13"/>
      <c r="GY290" s="14"/>
      <c r="HA290" s="65"/>
      <c r="HB290" s="13"/>
      <c r="HC290" s="14"/>
      <c r="HE290" s="65"/>
      <c r="HF290" s="13"/>
      <c r="HG290" s="14"/>
      <c r="HI290" s="65"/>
      <c r="HJ290" s="13"/>
      <c r="HK290" s="14"/>
      <c r="HM290" s="65"/>
      <c r="HN290" s="13"/>
      <c r="HO290" s="14"/>
      <c r="HQ290" s="65"/>
      <c r="HR290" s="13"/>
      <c r="HS290" s="14"/>
      <c r="HU290" s="65"/>
      <c r="HV290" s="13"/>
      <c r="HW290" s="14"/>
      <c r="HY290" s="65"/>
      <c r="HZ290" s="13"/>
      <c r="IA290" s="14"/>
      <c r="IC290" s="65"/>
      <c r="ID290" s="13"/>
      <c r="IE290" s="14"/>
      <c r="IG290" s="65"/>
      <c r="IH290" s="13"/>
      <c r="II290" s="14"/>
      <c r="IK290" s="65"/>
      <c r="IL290" s="13"/>
      <c r="IM290" s="14"/>
      <c r="IO290" s="65"/>
      <c r="IP290" s="13"/>
      <c r="IQ290" s="14"/>
      <c r="IS290" s="65"/>
      <c r="IT290" s="13"/>
      <c r="IU290" s="14"/>
      <c r="IW290" s="65"/>
      <c r="IX290" s="13"/>
      <c r="IY290" s="14"/>
      <c r="JA290" s="65"/>
      <c r="JB290" s="13"/>
      <c r="JC290" s="14"/>
      <c r="JE290" s="65"/>
      <c r="JF290" s="13"/>
      <c r="JG290" s="14"/>
      <c r="JI290" s="65"/>
      <c r="JJ290" s="13"/>
      <c r="JK290" s="14"/>
      <c r="JM290" s="65"/>
      <c r="JN290" s="13"/>
      <c r="JO290" s="14"/>
      <c r="JQ290" s="65"/>
      <c r="JR290" s="13"/>
      <c r="JS290" s="14"/>
      <c r="JU290" s="65"/>
      <c r="JV290" s="13"/>
      <c r="JW290" s="14"/>
      <c r="JY290" s="65"/>
      <c r="JZ290" s="13"/>
      <c r="KA290" s="14"/>
      <c r="KC290" s="65"/>
      <c r="KD290" s="13"/>
      <c r="KE290" s="14"/>
      <c r="KG290" s="65"/>
      <c r="KH290" s="13"/>
      <c r="KI290" s="14"/>
      <c r="KK290" s="65"/>
      <c r="KL290" s="13"/>
      <c r="KM290" s="14"/>
      <c r="KO290" s="65"/>
      <c r="KP290" s="13"/>
      <c r="KQ290" s="14"/>
      <c r="KS290" s="65"/>
      <c r="KT290" s="13"/>
      <c r="KU290" s="14"/>
      <c r="KW290" s="65"/>
      <c r="KX290" s="13"/>
      <c r="KY290" s="14"/>
      <c r="LA290" s="65"/>
      <c r="LB290" s="13"/>
      <c r="LC290" s="14"/>
      <c r="LE290" s="65"/>
      <c r="LF290" s="13"/>
      <c r="LG290" s="14"/>
      <c r="LI290" s="65"/>
      <c r="LJ290" s="13"/>
      <c r="LK290" s="14"/>
      <c r="LM290" s="65"/>
      <c r="LN290" s="13"/>
      <c r="LO290" s="14"/>
      <c r="LQ290" s="65"/>
      <c r="LR290" s="13"/>
      <c r="LS290" s="14"/>
      <c r="LU290" s="65"/>
      <c r="LV290" s="13"/>
      <c r="LW290" s="14"/>
      <c r="LY290" s="65"/>
      <c r="LZ290" s="13"/>
      <c r="MA290" s="14"/>
      <c r="MC290" s="65"/>
      <c r="MD290" s="13"/>
      <c r="ME290" s="14"/>
      <c r="MG290" s="65"/>
      <c r="MH290" s="13"/>
      <c r="MI290" s="14"/>
      <c r="MK290" s="65"/>
      <c r="ML290" s="13"/>
      <c r="MM290" s="14"/>
      <c r="MO290" s="65"/>
      <c r="MP290" s="13"/>
      <c r="MQ290" s="14"/>
      <c r="MS290" s="65"/>
      <c r="MT290" s="13"/>
      <c r="MU290" s="14"/>
    </row>
    <row r="291" spans="1:359" hidden="1" x14ac:dyDescent="0.25">
      <c r="A291" s="15">
        <f>+AH42+AL35+AP32+AT32+AX30+BB30+BF29+BJ25+BN25+BR18+BV9+BZ9+CD8+CH8</f>
        <v>23442763.013803151</v>
      </c>
      <c r="B291" s="20">
        <v>42985</v>
      </c>
      <c r="T291" s="15"/>
      <c r="U291" s="20"/>
      <c r="DY291" s="65"/>
      <c r="DZ291" s="13"/>
      <c r="EA291" s="14"/>
      <c r="EC291" s="65"/>
      <c r="ED291" s="13"/>
      <c r="EE291" s="14"/>
      <c r="EG291" s="65"/>
      <c r="EH291" s="13"/>
      <c r="EI291" s="14"/>
      <c r="EK291" s="65"/>
      <c r="EL291" s="13"/>
      <c r="EM291" s="14"/>
      <c r="EO291" s="65"/>
      <c r="EP291" s="13"/>
      <c r="EQ291" s="14"/>
      <c r="ES291" s="65"/>
      <c r="ET291" s="13"/>
      <c r="EU291" s="14"/>
      <c r="EW291" s="65"/>
      <c r="EX291" s="13"/>
      <c r="EY291" s="14"/>
      <c r="FA291" s="65"/>
      <c r="FB291" s="13"/>
      <c r="FC291" s="14"/>
      <c r="FE291" s="65"/>
      <c r="FF291" s="13"/>
      <c r="FG291" s="14"/>
      <c r="FI291" s="65"/>
      <c r="FJ291" s="13"/>
      <c r="FK291" s="14"/>
      <c r="FM291" s="65"/>
      <c r="FN291" s="13"/>
      <c r="FO291" s="14"/>
      <c r="FQ291" s="65"/>
      <c r="FR291" s="13"/>
      <c r="FS291" s="14"/>
      <c r="FU291" s="65"/>
      <c r="FV291" s="13"/>
      <c r="FW291" s="14"/>
      <c r="FY291" s="65"/>
      <c r="FZ291" s="13"/>
      <c r="GA291" s="14"/>
      <c r="GC291" s="65"/>
      <c r="GD291" s="13"/>
      <c r="GE291" s="14"/>
      <c r="GG291" s="65"/>
      <c r="GH291" s="13"/>
      <c r="GI291" s="14"/>
      <c r="GK291" s="65"/>
      <c r="GL291" s="13"/>
      <c r="GM291" s="14"/>
      <c r="GO291" s="65"/>
      <c r="GP291" s="13"/>
      <c r="GQ291" s="14"/>
      <c r="GS291" s="65"/>
      <c r="GT291" s="13"/>
      <c r="GU291" s="14"/>
      <c r="GW291" s="65"/>
      <c r="GX291" s="13"/>
      <c r="GY291" s="14"/>
      <c r="HA291" s="65"/>
      <c r="HB291" s="13"/>
      <c r="HC291" s="14"/>
      <c r="HE291" s="65"/>
      <c r="HF291" s="13"/>
      <c r="HG291" s="14"/>
      <c r="HI291" s="65"/>
      <c r="HJ291" s="13"/>
      <c r="HK291" s="14"/>
      <c r="HM291" s="65"/>
      <c r="HN291" s="13"/>
      <c r="HO291" s="14"/>
      <c r="HQ291" s="65"/>
      <c r="HR291" s="13"/>
      <c r="HS291" s="14"/>
      <c r="HU291" s="65"/>
      <c r="HV291" s="13"/>
      <c r="HW291" s="14"/>
      <c r="HY291" s="65"/>
      <c r="HZ291" s="13"/>
      <c r="IA291" s="14"/>
      <c r="IC291" s="65"/>
      <c r="ID291" s="13"/>
      <c r="IE291" s="14"/>
      <c r="IG291" s="65"/>
      <c r="IH291" s="13"/>
      <c r="II291" s="14"/>
      <c r="IK291" s="65"/>
      <c r="IL291" s="13"/>
      <c r="IM291" s="14"/>
      <c r="IO291" s="65"/>
      <c r="IP291" s="13"/>
      <c r="IQ291" s="14"/>
      <c r="IS291" s="65"/>
      <c r="IT291" s="13"/>
      <c r="IU291" s="14"/>
      <c r="IW291" s="65"/>
      <c r="IX291" s="13"/>
      <c r="IY291" s="14"/>
      <c r="JA291" s="65"/>
      <c r="JB291" s="13"/>
      <c r="JC291" s="14"/>
      <c r="JE291" s="65"/>
      <c r="JF291" s="13"/>
      <c r="JG291" s="14"/>
      <c r="JI291" s="65"/>
      <c r="JJ291" s="13"/>
      <c r="JK291" s="14"/>
      <c r="JM291" s="65"/>
      <c r="JN291" s="13"/>
      <c r="JO291" s="14"/>
      <c r="JQ291" s="65"/>
      <c r="JR291" s="13"/>
      <c r="JS291" s="14"/>
      <c r="JU291" s="65"/>
      <c r="JV291" s="13"/>
      <c r="JW291" s="14"/>
      <c r="JY291" s="65"/>
      <c r="JZ291" s="13"/>
      <c r="KA291" s="14"/>
      <c r="KC291" s="65"/>
      <c r="KD291" s="13"/>
      <c r="KE291" s="14"/>
      <c r="KG291" s="65"/>
      <c r="KH291" s="13"/>
      <c r="KI291" s="14"/>
      <c r="KK291" s="65"/>
      <c r="KL291" s="13"/>
      <c r="KM291" s="14"/>
      <c r="KO291" s="65"/>
      <c r="KP291" s="13"/>
      <c r="KQ291" s="14"/>
      <c r="KS291" s="65"/>
      <c r="KT291" s="13"/>
      <c r="KU291" s="14"/>
      <c r="KW291" s="65"/>
      <c r="KX291" s="13"/>
      <c r="KY291" s="14"/>
      <c r="LA291" s="65"/>
      <c r="LB291" s="13"/>
      <c r="LC291" s="14"/>
      <c r="LE291" s="65"/>
      <c r="LF291" s="13"/>
      <c r="LG291" s="14"/>
      <c r="LI291" s="65"/>
      <c r="LJ291" s="13"/>
      <c r="LK291" s="14"/>
      <c r="LM291" s="65"/>
      <c r="LN291" s="13"/>
      <c r="LO291" s="14"/>
      <c r="LQ291" s="65"/>
      <c r="LR291" s="13"/>
      <c r="LS291" s="14"/>
      <c r="LU291" s="65"/>
      <c r="LV291" s="13"/>
      <c r="LW291" s="14"/>
      <c r="LY291" s="65"/>
      <c r="LZ291" s="13"/>
      <c r="MA291" s="14"/>
      <c r="MC291" s="65"/>
      <c r="MD291" s="13"/>
      <c r="ME291" s="14"/>
      <c r="MG291" s="65"/>
      <c r="MH291" s="13"/>
      <c r="MI291" s="14"/>
      <c r="MK291" s="65"/>
      <c r="ML291" s="13"/>
      <c r="MM291" s="14"/>
      <c r="MO291" s="65"/>
      <c r="MP291" s="13"/>
      <c r="MQ291" s="14"/>
      <c r="MS291" s="65"/>
      <c r="MT291" s="13"/>
      <c r="MU291" s="14"/>
    </row>
    <row r="292" spans="1:359" hidden="1" x14ac:dyDescent="0.25">
      <c r="A292" s="15">
        <f t="shared" ref="A292:A294" si="200">+AH43+AL36+AP33+AT33+AX31+BB31+BF30+BJ26+BN26+BR19+BV10+BZ10+CD9+CH9</f>
        <v>23444051.724478178</v>
      </c>
      <c r="B292" s="20">
        <v>42986</v>
      </c>
      <c r="T292" s="15"/>
      <c r="U292" s="20"/>
      <c r="DY292" s="65"/>
      <c r="DZ292" s="13"/>
      <c r="EA292" s="14"/>
      <c r="EC292" s="65"/>
      <c r="ED292" s="13"/>
      <c r="EE292" s="14"/>
      <c r="EG292" s="65"/>
      <c r="EH292" s="13"/>
      <c r="EI292" s="14"/>
      <c r="EK292" s="65"/>
      <c r="EL292" s="13"/>
      <c r="EM292" s="14"/>
      <c r="EO292" s="65"/>
      <c r="EP292" s="13"/>
      <c r="EQ292" s="14"/>
      <c r="ES292" s="65"/>
      <c r="ET292" s="13"/>
      <c r="EU292" s="14"/>
      <c r="EW292" s="65"/>
      <c r="EX292" s="13"/>
      <c r="EY292" s="14"/>
      <c r="FA292" s="65"/>
      <c r="FB292" s="13"/>
      <c r="FC292" s="14"/>
      <c r="FE292" s="65"/>
      <c r="FF292" s="13"/>
      <c r="FG292" s="14"/>
      <c r="FI292" s="65"/>
      <c r="FJ292" s="13"/>
      <c r="FK292" s="14"/>
      <c r="FM292" s="65"/>
      <c r="FN292" s="13"/>
      <c r="FO292" s="14"/>
      <c r="FQ292" s="65"/>
      <c r="FR292" s="13"/>
      <c r="FS292" s="14"/>
      <c r="FU292" s="65"/>
      <c r="FV292" s="13"/>
      <c r="FW292" s="14"/>
      <c r="FY292" s="65"/>
      <c r="FZ292" s="13"/>
      <c r="GA292" s="14"/>
      <c r="GC292" s="65"/>
      <c r="GD292" s="13"/>
      <c r="GE292" s="14"/>
      <c r="GG292" s="65"/>
      <c r="GH292" s="13"/>
      <c r="GI292" s="14"/>
      <c r="GK292" s="65"/>
      <c r="GL292" s="13"/>
      <c r="GM292" s="14"/>
      <c r="GO292" s="65"/>
      <c r="GP292" s="13"/>
      <c r="GQ292" s="14"/>
      <c r="GS292" s="65"/>
      <c r="GT292" s="13"/>
      <c r="GU292" s="14"/>
      <c r="GW292" s="65"/>
      <c r="GX292" s="13"/>
      <c r="GY292" s="14"/>
      <c r="HA292" s="65"/>
      <c r="HB292" s="13"/>
      <c r="HC292" s="14"/>
      <c r="HE292" s="65"/>
      <c r="HF292" s="13"/>
      <c r="HG292" s="14"/>
      <c r="HI292" s="65"/>
      <c r="HJ292" s="13"/>
      <c r="HK292" s="14"/>
      <c r="HM292" s="65"/>
      <c r="HN292" s="13"/>
      <c r="HO292" s="14"/>
      <c r="HQ292" s="65"/>
      <c r="HR292" s="13"/>
      <c r="HS292" s="14"/>
      <c r="HU292" s="65"/>
      <c r="HV292" s="13"/>
      <c r="HW292" s="14"/>
      <c r="HY292" s="65"/>
      <c r="HZ292" s="13"/>
      <c r="IA292" s="14"/>
      <c r="IC292" s="65"/>
      <c r="ID292" s="13"/>
      <c r="IE292" s="14"/>
      <c r="IG292" s="65"/>
      <c r="IH292" s="13"/>
      <c r="II292" s="14"/>
      <c r="IK292" s="65"/>
      <c r="IL292" s="13"/>
      <c r="IM292" s="14"/>
      <c r="IO292" s="65"/>
      <c r="IP292" s="13"/>
      <c r="IQ292" s="14"/>
      <c r="IS292" s="65"/>
      <c r="IT292" s="13"/>
      <c r="IU292" s="14"/>
      <c r="IW292" s="65"/>
      <c r="IX292" s="13"/>
      <c r="IY292" s="14"/>
      <c r="JA292" s="65"/>
      <c r="JB292" s="13"/>
      <c r="JC292" s="14"/>
      <c r="JE292" s="65"/>
      <c r="JF292" s="13"/>
      <c r="JG292" s="14"/>
      <c r="JI292" s="65"/>
      <c r="JJ292" s="13"/>
      <c r="JK292" s="14"/>
      <c r="JM292" s="65"/>
      <c r="JN292" s="13"/>
      <c r="JO292" s="14"/>
      <c r="JQ292" s="65"/>
      <c r="JR292" s="13"/>
      <c r="JS292" s="14"/>
      <c r="JU292" s="65"/>
      <c r="JV292" s="13"/>
      <c r="JW292" s="14"/>
      <c r="JY292" s="65"/>
      <c r="JZ292" s="13"/>
      <c r="KA292" s="14"/>
      <c r="KC292" s="65"/>
      <c r="KD292" s="13"/>
      <c r="KE292" s="14"/>
      <c r="KG292" s="65"/>
      <c r="KH292" s="13"/>
      <c r="KI292" s="14"/>
      <c r="KK292" s="65"/>
      <c r="KL292" s="13"/>
      <c r="KM292" s="14"/>
      <c r="KO292" s="65"/>
      <c r="KP292" s="13"/>
      <c r="KQ292" s="14"/>
      <c r="KS292" s="65"/>
      <c r="KT292" s="13"/>
      <c r="KU292" s="14"/>
      <c r="KW292" s="65"/>
      <c r="KX292" s="13"/>
      <c r="KY292" s="14"/>
      <c r="LA292" s="65"/>
      <c r="LB292" s="13"/>
      <c r="LC292" s="14"/>
      <c r="LE292" s="65"/>
      <c r="LF292" s="13"/>
      <c r="LG292" s="14"/>
      <c r="LI292" s="65"/>
      <c r="LJ292" s="13"/>
      <c r="LK292" s="14"/>
      <c r="LM292" s="65"/>
      <c r="LN292" s="13"/>
      <c r="LO292" s="14"/>
      <c r="LQ292" s="65"/>
      <c r="LR292" s="13"/>
      <c r="LS292" s="14"/>
      <c r="LU292" s="65"/>
      <c r="LV292" s="13"/>
      <c r="LW292" s="14"/>
      <c r="LY292" s="65"/>
      <c r="LZ292" s="13"/>
      <c r="MA292" s="14"/>
      <c r="MC292" s="65"/>
      <c r="MD292" s="13"/>
      <c r="ME292" s="14"/>
      <c r="MG292" s="65"/>
      <c r="MH292" s="13"/>
      <c r="MI292" s="14"/>
      <c r="MK292" s="65"/>
      <c r="ML292" s="13"/>
      <c r="MM292" s="14"/>
      <c r="MO292" s="65"/>
      <c r="MP292" s="13"/>
      <c r="MQ292" s="14"/>
      <c r="MS292" s="65"/>
      <c r="MT292" s="13"/>
      <c r="MU292" s="14"/>
    </row>
    <row r="293" spans="1:359" hidden="1" x14ac:dyDescent="0.25">
      <c r="A293" s="15">
        <f t="shared" si="200"/>
        <v>23445340.580108751</v>
      </c>
      <c r="B293" s="20">
        <v>42987</v>
      </c>
      <c r="T293" s="15"/>
      <c r="U293" s="20"/>
      <c r="DY293" s="65"/>
      <c r="DZ293" s="13"/>
      <c r="EA293" s="14"/>
      <c r="EC293" s="65"/>
      <c r="ED293" s="13"/>
      <c r="EE293" s="14"/>
      <c r="EG293" s="65"/>
      <c r="EH293" s="13"/>
      <c r="EI293" s="14"/>
      <c r="EK293" s="65"/>
      <c r="EL293" s="13"/>
      <c r="EM293" s="14"/>
      <c r="EO293" s="65"/>
      <c r="EP293" s="13"/>
      <c r="EQ293" s="14"/>
      <c r="ES293" s="65"/>
      <c r="ET293" s="13"/>
      <c r="EU293" s="14"/>
      <c r="EW293" s="65"/>
      <c r="EX293" s="13"/>
      <c r="EY293" s="14"/>
      <c r="FA293" s="65"/>
      <c r="FB293" s="13"/>
      <c r="FC293" s="14"/>
      <c r="FE293" s="65"/>
      <c r="FF293" s="13"/>
      <c r="FG293" s="14"/>
      <c r="FI293" s="65"/>
      <c r="FJ293" s="13"/>
      <c r="FK293" s="14"/>
      <c r="FM293" s="65"/>
      <c r="FN293" s="13"/>
      <c r="FO293" s="14"/>
      <c r="FQ293" s="65"/>
      <c r="FR293" s="13"/>
      <c r="FS293" s="14"/>
      <c r="FU293" s="65"/>
      <c r="FV293" s="13"/>
      <c r="FW293" s="14"/>
      <c r="FY293" s="65"/>
      <c r="FZ293" s="13"/>
      <c r="GA293" s="14"/>
      <c r="GC293" s="65"/>
      <c r="GD293" s="13"/>
      <c r="GE293" s="14"/>
      <c r="GG293" s="65"/>
      <c r="GH293" s="13"/>
      <c r="GI293" s="14"/>
      <c r="GK293" s="65"/>
      <c r="GL293" s="13"/>
      <c r="GM293" s="14"/>
      <c r="GO293" s="65"/>
      <c r="GP293" s="13"/>
      <c r="GQ293" s="14"/>
      <c r="GS293" s="65"/>
      <c r="GT293" s="13"/>
      <c r="GU293" s="14"/>
      <c r="GW293" s="65"/>
      <c r="GX293" s="13"/>
      <c r="GY293" s="14"/>
      <c r="HA293" s="65"/>
      <c r="HB293" s="13"/>
      <c r="HC293" s="14"/>
      <c r="HE293" s="65"/>
      <c r="HF293" s="13"/>
      <c r="HG293" s="14"/>
      <c r="HI293" s="65"/>
      <c r="HJ293" s="13"/>
      <c r="HK293" s="14"/>
      <c r="HM293" s="65"/>
      <c r="HN293" s="13"/>
      <c r="HO293" s="14"/>
      <c r="HQ293" s="65"/>
      <c r="HR293" s="13"/>
      <c r="HS293" s="14"/>
      <c r="HU293" s="65"/>
      <c r="HV293" s="13"/>
      <c r="HW293" s="14"/>
      <c r="HY293" s="65"/>
      <c r="HZ293" s="13"/>
      <c r="IA293" s="14"/>
      <c r="IC293" s="65"/>
      <c r="ID293" s="13"/>
      <c r="IE293" s="14"/>
      <c r="IG293" s="65"/>
      <c r="IH293" s="13"/>
      <c r="II293" s="14"/>
      <c r="IK293" s="65"/>
      <c r="IL293" s="13"/>
      <c r="IM293" s="14"/>
      <c r="IO293" s="65"/>
      <c r="IP293" s="13"/>
      <c r="IQ293" s="14"/>
      <c r="IS293" s="65"/>
      <c r="IT293" s="13"/>
      <c r="IU293" s="14"/>
      <c r="IW293" s="65"/>
      <c r="IX293" s="13"/>
      <c r="IY293" s="14"/>
      <c r="JA293" s="65"/>
      <c r="JB293" s="13"/>
      <c r="JC293" s="14"/>
      <c r="JE293" s="65"/>
      <c r="JF293" s="13"/>
      <c r="JG293" s="14"/>
      <c r="JI293" s="65"/>
      <c r="JJ293" s="13"/>
      <c r="JK293" s="14"/>
      <c r="JM293" s="65"/>
      <c r="JN293" s="13"/>
      <c r="JO293" s="14"/>
      <c r="JQ293" s="65"/>
      <c r="JR293" s="13"/>
      <c r="JS293" s="14"/>
      <c r="JU293" s="65"/>
      <c r="JV293" s="13"/>
      <c r="JW293" s="14"/>
      <c r="JY293" s="65"/>
      <c r="JZ293" s="13"/>
      <c r="KA293" s="14"/>
      <c r="KC293" s="65"/>
      <c r="KD293" s="13"/>
      <c r="KE293" s="14"/>
      <c r="KG293" s="65"/>
      <c r="KH293" s="13"/>
      <c r="KI293" s="14"/>
      <c r="KK293" s="65"/>
      <c r="KL293" s="13"/>
      <c r="KM293" s="14"/>
      <c r="KO293" s="65"/>
      <c r="KP293" s="13"/>
      <c r="KQ293" s="14"/>
      <c r="KS293" s="65"/>
      <c r="KT293" s="13"/>
      <c r="KU293" s="14"/>
      <c r="KW293" s="65"/>
      <c r="KX293" s="13"/>
      <c r="KY293" s="14"/>
      <c r="LA293" s="65"/>
      <c r="LB293" s="13"/>
      <c r="LC293" s="14"/>
      <c r="LE293" s="65"/>
      <c r="LF293" s="13"/>
      <c r="LG293" s="14"/>
      <c r="LI293" s="65"/>
      <c r="LJ293" s="13"/>
      <c r="LK293" s="14"/>
      <c r="LM293" s="65"/>
      <c r="LN293" s="13"/>
      <c r="LO293" s="14"/>
      <c r="LQ293" s="65"/>
      <c r="LR293" s="13"/>
      <c r="LS293" s="14"/>
      <c r="LU293" s="65"/>
      <c r="LV293" s="13"/>
      <c r="LW293" s="14"/>
      <c r="LY293" s="65"/>
      <c r="LZ293" s="13"/>
      <c r="MA293" s="14"/>
      <c r="MC293" s="65"/>
      <c r="MD293" s="13"/>
      <c r="ME293" s="14"/>
      <c r="MG293" s="65"/>
      <c r="MH293" s="13"/>
      <c r="MI293" s="14"/>
      <c r="MK293" s="65"/>
      <c r="ML293" s="13"/>
      <c r="MM293" s="14"/>
      <c r="MO293" s="65"/>
      <c r="MP293" s="13"/>
      <c r="MQ293" s="14"/>
      <c r="MS293" s="65"/>
      <c r="MT293" s="13"/>
      <c r="MU293" s="14"/>
    </row>
    <row r="294" spans="1:359" hidden="1" x14ac:dyDescent="0.25">
      <c r="A294" s="15">
        <f t="shared" si="200"/>
        <v>23446629.580719892</v>
      </c>
      <c r="B294" s="20">
        <v>42988</v>
      </c>
      <c r="T294" s="15"/>
      <c r="U294" s="20"/>
      <c r="DY294" s="65"/>
      <c r="DZ294" s="13"/>
      <c r="EA294" s="14"/>
      <c r="EC294" s="65"/>
      <c r="ED294" s="13"/>
      <c r="EE294" s="14"/>
      <c r="EG294" s="65"/>
      <c r="EH294" s="13"/>
      <c r="EI294" s="14"/>
      <c r="EK294" s="65"/>
      <c r="EL294" s="13"/>
      <c r="EM294" s="14"/>
      <c r="EO294" s="65"/>
      <c r="EP294" s="13"/>
      <c r="EQ294" s="14"/>
      <c r="ES294" s="65"/>
      <c r="ET294" s="13"/>
      <c r="EU294" s="14"/>
      <c r="EW294" s="65"/>
      <c r="EX294" s="13"/>
      <c r="EY294" s="14"/>
      <c r="FA294" s="65"/>
      <c r="FB294" s="13"/>
      <c r="FC294" s="14"/>
      <c r="FE294" s="65"/>
      <c r="FF294" s="13"/>
      <c r="FG294" s="14"/>
      <c r="FI294" s="65"/>
      <c r="FJ294" s="13"/>
      <c r="FK294" s="14"/>
      <c r="FM294" s="65"/>
      <c r="FN294" s="13"/>
      <c r="FO294" s="14"/>
      <c r="FQ294" s="65"/>
      <c r="FR294" s="13"/>
      <c r="FS294" s="14"/>
      <c r="FU294" s="65"/>
      <c r="FV294" s="13"/>
      <c r="FW294" s="14"/>
      <c r="FY294" s="65"/>
      <c r="FZ294" s="13"/>
      <c r="GA294" s="14"/>
      <c r="GC294" s="65"/>
      <c r="GD294" s="13"/>
      <c r="GE294" s="14"/>
      <c r="GG294" s="65"/>
      <c r="GH294" s="13"/>
      <c r="GI294" s="14"/>
      <c r="GK294" s="65"/>
      <c r="GL294" s="13"/>
      <c r="GM294" s="14"/>
      <c r="GO294" s="65"/>
      <c r="GP294" s="13"/>
      <c r="GQ294" s="14"/>
      <c r="GS294" s="65"/>
      <c r="GT294" s="13"/>
      <c r="GU294" s="14"/>
      <c r="GW294" s="65"/>
      <c r="GX294" s="13"/>
      <c r="GY294" s="14"/>
      <c r="HA294" s="65"/>
      <c r="HB294" s="13"/>
      <c r="HC294" s="14"/>
      <c r="HE294" s="65"/>
      <c r="HF294" s="13"/>
      <c r="HG294" s="14"/>
      <c r="HI294" s="65"/>
      <c r="HJ294" s="13"/>
      <c r="HK294" s="14"/>
      <c r="HM294" s="65"/>
      <c r="HN294" s="13"/>
      <c r="HO294" s="14"/>
      <c r="HQ294" s="65"/>
      <c r="HR294" s="13"/>
      <c r="HS294" s="14"/>
      <c r="HU294" s="65"/>
      <c r="HV294" s="13"/>
      <c r="HW294" s="14"/>
      <c r="HY294" s="65"/>
      <c r="HZ294" s="13"/>
      <c r="IA294" s="14"/>
      <c r="IC294" s="65"/>
      <c r="ID294" s="13"/>
      <c r="IE294" s="14"/>
      <c r="IG294" s="65"/>
      <c r="IH294" s="13"/>
      <c r="II294" s="14"/>
      <c r="IK294" s="65"/>
      <c r="IL294" s="13"/>
      <c r="IM294" s="14"/>
      <c r="IO294" s="65"/>
      <c r="IP294" s="13"/>
      <c r="IQ294" s="14"/>
      <c r="IS294" s="65"/>
      <c r="IT294" s="13"/>
      <c r="IU294" s="14"/>
      <c r="IW294" s="65"/>
      <c r="IX294" s="13"/>
      <c r="IY294" s="14"/>
      <c r="JA294" s="65"/>
      <c r="JB294" s="13"/>
      <c r="JC294" s="14"/>
      <c r="JE294" s="65"/>
      <c r="JF294" s="13"/>
      <c r="JG294" s="14"/>
      <c r="JI294" s="65"/>
      <c r="JJ294" s="13"/>
      <c r="JK294" s="14"/>
      <c r="JM294" s="65"/>
      <c r="JN294" s="13"/>
      <c r="JO294" s="14"/>
      <c r="JQ294" s="65"/>
      <c r="JR294" s="13"/>
      <c r="JS294" s="14"/>
      <c r="JU294" s="65"/>
      <c r="JV294" s="13"/>
      <c r="JW294" s="14"/>
      <c r="JY294" s="65"/>
      <c r="JZ294" s="13"/>
      <c r="KA294" s="14"/>
      <c r="KC294" s="65"/>
      <c r="KD294" s="13"/>
      <c r="KE294" s="14"/>
      <c r="KG294" s="65"/>
      <c r="KH294" s="13"/>
      <c r="KI294" s="14"/>
      <c r="KK294" s="65"/>
      <c r="KL294" s="13"/>
      <c r="KM294" s="14"/>
      <c r="KO294" s="65"/>
      <c r="KP294" s="13"/>
      <c r="KQ294" s="14"/>
      <c r="KS294" s="65"/>
      <c r="KT294" s="13"/>
      <c r="KU294" s="14"/>
      <c r="KW294" s="65"/>
      <c r="KX294" s="13"/>
      <c r="KY294" s="14"/>
      <c r="LA294" s="65"/>
      <c r="LB294" s="13"/>
      <c r="LC294" s="14"/>
      <c r="LE294" s="65"/>
      <c r="LF294" s="13"/>
      <c r="LG294" s="14"/>
      <c r="LI294" s="65"/>
      <c r="LJ294" s="13"/>
      <c r="LK294" s="14"/>
      <c r="LM294" s="65"/>
      <c r="LN294" s="13"/>
      <c r="LO294" s="14"/>
      <c r="LQ294" s="65"/>
      <c r="LR294" s="13"/>
      <c r="LS294" s="14"/>
      <c r="LU294" s="65"/>
      <c r="LV294" s="13"/>
      <c r="LW294" s="14"/>
      <c r="LY294" s="65"/>
      <c r="LZ294" s="13"/>
      <c r="MA294" s="14"/>
      <c r="MC294" s="65"/>
      <c r="MD294" s="13"/>
      <c r="ME294" s="14"/>
      <c r="MG294" s="65"/>
      <c r="MH294" s="13"/>
      <c r="MI294" s="14"/>
      <c r="MK294" s="65"/>
      <c r="ML294" s="13"/>
      <c r="MM294" s="14"/>
      <c r="MO294" s="65"/>
      <c r="MP294" s="13"/>
      <c r="MQ294" s="14"/>
      <c r="MS294" s="65"/>
      <c r="MT294" s="13"/>
      <c r="MU294" s="14"/>
    </row>
    <row r="295" spans="1:359" hidden="1" x14ac:dyDescent="0.25">
      <c r="A295" s="15">
        <f>+AH46+AL39+AP36+AT36+AX34+BB34+BF33+BJ29+BN29+BR22+BV13+BZ13+CD12+CH12+CL8</f>
        <v>23013032.511644859</v>
      </c>
      <c r="B295" s="20">
        <v>42989</v>
      </c>
      <c r="T295" s="15"/>
      <c r="U295" s="20"/>
      <c r="DY295" s="65"/>
      <c r="DZ295" s="13"/>
      <c r="EA295" s="14"/>
      <c r="EC295" s="65"/>
      <c r="ED295" s="13"/>
      <c r="EE295" s="14"/>
      <c r="EG295" s="65"/>
      <c r="EH295" s="13"/>
      <c r="EI295" s="14"/>
      <c r="EK295" s="65"/>
      <c r="EL295" s="13"/>
      <c r="EM295" s="14"/>
      <c r="EO295" s="65"/>
      <c r="EP295" s="13"/>
      <c r="EQ295" s="14"/>
      <c r="ES295" s="65"/>
      <c r="ET295" s="13"/>
      <c r="EU295" s="14"/>
      <c r="EW295" s="65"/>
      <c r="EX295" s="13"/>
      <c r="EY295" s="14"/>
      <c r="FA295" s="65"/>
      <c r="FB295" s="13"/>
      <c r="FC295" s="14"/>
      <c r="FE295" s="65"/>
      <c r="FF295" s="13"/>
      <c r="FG295" s="14"/>
      <c r="FI295" s="65"/>
      <c r="FJ295" s="13"/>
      <c r="FK295" s="14"/>
      <c r="FM295" s="65"/>
      <c r="FN295" s="13"/>
      <c r="FO295" s="14"/>
      <c r="FQ295" s="65"/>
      <c r="FR295" s="13"/>
      <c r="FS295" s="14"/>
      <c r="FU295" s="65"/>
      <c r="FV295" s="13"/>
      <c r="FW295" s="14"/>
      <c r="FY295" s="65"/>
      <c r="FZ295" s="13"/>
      <c r="GA295" s="14"/>
      <c r="GC295" s="65"/>
      <c r="GD295" s="13"/>
      <c r="GE295" s="14"/>
      <c r="GG295" s="65"/>
      <c r="GH295" s="13"/>
      <c r="GI295" s="14"/>
      <c r="GK295" s="65"/>
      <c r="GL295" s="13"/>
      <c r="GM295" s="14"/>
      <c r="GO295" s="65"/>
      <c r="GP295" s="13"/>
      <c r="GQ295" s="14"/>
      <c r="GS295" s="65"/>
      <c r="GT295" s="13"/>
      <c r="GU295" s="14"/>
      <c r="GW295" s="65"/>
      <c r="GX295" s="13"/>
      <c r="GY295" s="14"/>
      <c r="HA295" s="65"/>
      <c r="HB295" s="13"/>
      <c r="HC295" s="14"/>
      <c r="HE295" s="65"/>
      <c r="HF295" s="13"/>
      <c r="HG295" s="14"/>
      <c r="HI295" s="65"/>
      <c r="HJ295" s="13"/>
      <c r="HK295" s="14"/>
      <c r="HM295" s="65"/>
      <c r="HN295" s="13"/>
      <c r="HO295" s="14"/>
      <c r="HQ295" s="65"/>
      <c r="HR295" s="13"/>
      <c r="HS295" s="14"/>
      <c r="HU295" s="65"/>
      <c r="HV295" s="13"/>
      <c r="HW295" s="14"/>
      <c r="HY295" s="65"/>
      <c r="HZ295" s="13"/>
      <c r="IA295" s="14"/>
      <c r="IC295" s="65"/>
      <c r="ID295" s="13"/>
      <c r="IE295" s="14"/>
      <c r="IG295" s="65"/>
      <c r="IH295" s="13"/>
      <c r="II295" s="14"/>
      <c r="IK295" s="65"/>
      <c r="IL295" s="13"/>
      <c r="IM295" s="14"/>
      <c r="IO295" s="65"/>
      <c r="IP295" s="13"/>
      <c r="IQ295" s="14"/>
      <c r="IS295" s="65"/>
      <c r="IT295" s="13"/>
      <c r="IU295" s="14"/>
      <c r="IW295" s="65"/>
      <c r="IX295" s="13"/>
      <c r="IY295" s="14"/>
      <c r="JA295" s="65"/>
      <c r="JB295" s="13"/>
      <c r="JC295" s="14"/>
      <c r="JE295" s="65"/>
      <c r="JF295" s="13"/>
      <c r="JG295" s="14"/>
      <c r="JI295" s="65"/>
      <c r="JJ295" s="13"/>
      <c r="JK295" s="14"/>
      <c r="JM295" s="65"/>
      <c r="JN295" s="13"/>
      <c r="JO295" s="14"/>
      <c r="JQ295" s="65"/>
      <c r="JR295" s="13"/>
      <c r="JS295" s="14"/>
      <c r="JU295" s="65"/>
      <c r="JV295" s="13"/>
      <c r="JW295" s="14"/>
      <c r="JY295" s="65"/>
      <c r="JZ295" s="13"/>
      <c r="KA295" s="14"/>
      <c r="KC295" s="65"/>
      <c r="KD295" s="13"/>
      <c r="KE295" s="14"/>
      <c r="KG295" s="65"/>
      <c r="KH295" s="13"/>
      <c r="KI295" s="14"/>
      <c r="KK295" s="65"/>
      <c r="KL295" s="13"/>
      <c r="KM295" s="14"/>
      <c r="KO295" s="65"/>
      <c r="KP295" s="13"/>
      <c r="KQ295" s="14"/>
      <c r="KS295" s="65"/>
      <c r="KT295" s="13"/>
      <c r="KU295" s="14"/>
      <c r="KW295" s="65"/>
      <c r="KX295" s="13"/>
      <c r="KY295" s="14"/>
      <c r="LA295" s="65"/>
      <c r="LB295" s="13"/>
      <c r="LC295" s="14"/>
      <c r="LE295" s="65"/>
      <c r="LF295" s="13"/>
      <c r="LG295" s="14"/>
      <c r="LI295" s="65"/>
      <c r="LJ295" s="13"/>
      <c r="LK295" s="14"/>
      <c r="LM295" s="65"/>
      <c r="LN295" s="13"/>
      <c r="LO295" s="14"/>
      <c r="LQ295" s="65"/>
      <c r="LR295" s="13"/>
      <c r="LS295" s="14"/>
      <c r="LU295" s="65"/>
      <c r="LV295" s="13"/>
      <c r="LW295" s="14"/>
      <c r="LY295" s="65"/>
      <c r="LZ295" s="13"/>
      <c r="MA295" s="14"/>
      <c r="MC295" s="65"/>
      <c r="MD295" s="13"/>
      <c r="ME295" s="14"/>
      <c r="MG295" s="65"/>
      <c r="MH295" s="13"/>
      <c r="MI295" s="14"/>
      <c r="MK295" s="65"/>
      <c r="ML295" s="13"/>
      <c r="MM295" s="14"/>
      <c r="MO295" s="65"/>
      <c r="MP295" s="13"/>
      <c r="MQ295" s="14"/>
      <c r="MS295" s="65"/>
      <c r="MT295" s="13"/>
      <c r="MU295" s="14"/>
    </row>
    <row r="296" spans="1:359" hidden="1" x14ac:dyDescent="0.25">
      <c r="A296" s="15">
        <f>+AH47+AL40+AP37+AT37+AX35+BB35+BF34+BJ30+BN30+BR23+BV14+BZ14+CD13+CH13+CL9</f>
        <v>22395932.538021058</v>
      </c>
      <c r="B296" s="20">
        <v>42990</v>
      </c>
      <c r="T296" s="15"/>
      <c r="U296" s="20"/>
      <c r="DY296" s="65"/>
      <c r="DZ296" s="13"/>
      <c r="EA296" s="14"/>
      <c r="EC296" s="65"/>
      <c r="ED296" s="13"/>
      <c r="EE296" s="14"/>
      <c r="EG296" s="65"/>
      <c r="EH296" s="13"/>
      <c r="EI296" s="14"/>
      <c r="EK296" s="65"/>
      <c r="EL296" s="13"/>
      <c r="EM296" s="14"/>
      <c r="EO296" s="65"/>
      <c r="EP296" s="13"/>
      <c r="EQ296" s="14"/>
      <c r="ES296" s="65"/>
      <c r="ET296" s="13"/>
      <c r="EU296" s="14"/>
      <c r="EW296" s="65"/>
      <c r="EX296" s="13"/>
      <c r="EY296" s="14"/>
      <c r="FA296" s="65"/>
      <c r="FB296" s="13"/>
      <c r="FC296" s="14"/>
      <c r="FE296" s="65"/>
      <c r="FF296" s="13"/>
      <c r="FG296" s="14"/>
      <c r="FI296" s="65"/>
      <c r="FJ296" s="13"/>
      <c r="FK296" s="14"/>
      <c r="FM296" s="65"/>
      <c r="FN296" s="13"/>
      <c r="FO296" s="14"/>
      <c r="FQ296" s="65"/>
      <c r="FR296" s="13"/>
      <c r="FS296" s="14"/>
      <c r="FU296" s="65"/>
      <c r="FV296" s="13"/>
      <c r="FW296" s="14"/>
      <c r="FY296" s="65"/>
      <c r="FZ296" s="13"/>
      <c r="GA296" s="14"/>
      <c r="GC296" s="65"/>
      <c r="GD296" s="13"/>
      <c r="GE296" s="14"/>
      <c r="GG296" s="65"/>
      <c r="GH296" s="13"/>
      <c r="GI296" s="14"/>
      <c r="GK296" s="65"/>
      <c r="GL296" s="13"/>
      <c r="GM296" s="14"/>
      <c r="GO296" s="65"/>
      <c r="GP296" s="13"/>
      <c r="GQ296" s="14"/>
      <c r="GS296" s="65"/>
      <c r="GT296" s="13"/>
      <c r="GU296" s="14"/>
      <c r="GW296" s="65"/>
      <c r="GX296" s="13"/>
      <c r="GY296" s="14"/>
      <c r="HA296" s="65"/>
      <c r="HB296" s="13"/>
      <c r="HC296" s="14"/>
      <c r="HE296" s="65"/>
      <c r="HF296" s="13"/>
      <c r="HG296" s="14"/>
      <c r="HI296" s="65"/>
      <c r="HJ296" s="13"/>
      <c r="HK296" s="14"/>
      <c r="HM296" s="65"/>
      <c r="HN296" s="13"/>
      <c r="HO296" s="14"/>
      <c r="HQ296" s="65"/>
      <c r="HR296" s="13"/>
      <c r="HS296" s="14"/>
      <c r="HU296" s="65"/>
      <c r="HV296" s="13"/>
      <c r="HW296" s="14"/>
      <c r="HY296" s="65"/>
      <c r="HZ296" s="13"/>
      <c r="IA296" s="14"/>
      <c r="IC296" s="65"/>
      <c r="ID296" s="13"/>
      <c r="IE296" s="14"/>
      <c r="IG296" s="65"/>
      <c r="IH296" s="13"/>
      <c r="II296" s="14"/>
      <c r="IK296" s="65"/>
      <c r="IL296" s="13"/>
      <c r="IM296" s="14"/>
      <c r="IO296" s="65"/>
      <c r="IP296" s="13"/>
      <c r="IQ296" s="14"/>
      <c r="IS296" s="65"/>
      <c r="IT296" s="13"/>
      <c r="IU296" s="14"/>
      <c r="IW296" s="65"/>
      <c r="IX296" s="13"/>
      <c r="IY296" s="14"/>
      <c r="JA296" s="65"/>
      <c r="JB296" s="13"/>
      <c r="JC296" s="14"/>
      <c r="JE296" s="65"/>
      <c r="JF296" s="13"/>
      <c r="JG296" s="14"/>
      <c r="JI296" s="65"/>
      <c r="JJ296" s="13"/>
      <c r="JK296" s="14"/>
      <c r="JM296" s="65"/>
      <c r="JN296" s="13"/>
      <c r="JO296" s="14"/>
      <c r="JQ296" s="65"/>
      <c r="JR296" s="13"/>
      <c r="JS296" s="14"/>
      <c r="JU296" s="65"/>
      <c r="JV296" s="13"/>
      <c r="JW296" s="14"/>
      <c r="JY296" s="65"/>
      <c r="JZ296" s="13"/>
      <c r="KA296" s="14"/>
      <c r="KC296" s="65"/>
      <c r="KD296" s="13"/>
      <c r="KE296" s="14"/>
      <c r="KG296" s="65"/>
      <c r="KH296" s="13"/>
      <c r="KI296" s="14"/>
      <c r="KK296" s="65"/>
      <c r="KL296" s="13"/>
      <c r="KM296" s="14"/>
      <c r="KO296" s="65"/>
      <c r="KP296" s="13"/>
      <c r="KQ296" s="14"/>
      <c r="KS296" s="65"/>
      <c r="KT296" s="13"/>
      <c r="KU296" s="14"/>
      <c r="KW296" s="65"/>
      <c r="KX296" s="13"/>
      <c r="KY296" s="14"/>
      <c r="LA296" s="65"/>
      <c r="LB296" s="13"/>
      <c r="LC296" s="14"/>
      <c r="LE296" s="65"/>
      <c r="LF296" s="13"/>
      <c r="LG296" s="14"/>
      <c r="LI296" s="65"/>
      <c r="LJ296" s="13"/>
      <c r="LK296" s="14"/>
      <c r="LM296" s="65"/>
      <c r="LN296" s="13"/>
      <c r="LO296" s="14"/>
      <c r="LQ296" s="65"/>
      <c r="LR296" s="13"/>
      <c r="LS296" s="14"/>
      <c r="LU296" s="65"/>
      <c r="LV296" s="13"/>
      <c r="LW296" s="14"/>
      <c r="LY296" s="65"/>
      <c r="LZ296" s="13"/>
      <c r="MA296" s="14"/>
      <c r="MC296" s="65"/>
      <c r="MD296" s="13"/>
      <c r="ME296" s="14"/>
      <c r="MG296" s="65"/>
      <c r="MH296" s="13"/>
      <c r="MI296" s="14"/>
      <c r="MK296" s="65"/>
      <c r="ML296" s="13"/>
      <c r="MM296" s="14"/>
      <c r="MO296" s="65"/>
      <c r="MP296" s="13"/>
      <c r="MQ296" s="14"/>
      <c r="MS296" s="65"/>
      <c r="MT296" s="13"/>
      <c r="MU296" s="14"/>
    </row>
    <row r="297" spans="1:359" hidden="1" x14ac:dyDescent="0.25">
      <c r="A297" s="15">
        <f>+AH48+AL41+AP38+AT38+AX36+BB36+BF35+BJ31+BN31+BR24+BV15+BZ15+CD14+CH14+CL10+CP8+CT8</f>
        <v>23335095.448439874</v>
      </c>
      <c r="B297" s="20">
        <v>42991</v>
      </c>
      <c r="T297" s="15"/>
      <c r="U297" s="20"/>
      <c r="DY297" s="65"/>
      <c r="DZ297" s="13"/>
      <c r="EA297" s="14"/>
      <c r="EC297" s="65"/>
      <c r="ED297" s="13"/>
      <c r="EE297" s="14"/>
      <c r="EG297" s="65"/>
      <c r="EH297" s="13"/>
      <c r="EI297" s="14"/>
      <c r="EK297" s="65"/>
      <c r="EL297" s="13"/>
      <c r="EM297" s="14"/>
      <c r="EO297" s="65"/>
      <c r="EP297" s="13"/>
      <c r="EQ297" s="14"/>
      <c r="ES297" s="65"/>
      <c r="ET297" s="13"/>
      <c r="EU297" s="14"/>
      <c r="EW297" s="65"/>
      <c r="EX297" s="13"/>
      <c r="EY297" s="14"/>
      <c r="FA297" s="65"/>
      <c r="FB297" s="13"/>
      <c r="FC297" s="14"/>
      <c r="FE297" s="65"/>
      <c r="FF297" s="13"/>
      <c r="FG297" s="14"/>
      <c r="FI297" s="65"/>
      <c r="FJ297" s="13"/>
      <c r="FK297" s="14"/>
      <c r="FM297" s="65"/>
      <c r="FN297" s="13"/>
      <c r="FO297" s="14"/>
      <c r="FQ297" s="65"/>
      <c r="FR297" s="13"/>
      <c r="FS297" s="14"/>
      <c r="FU297" s="65"/>
      <c r="FV297" s="13"/>
      <c r="FW297" s="14"/>
      <c r="FY297" s="65"/>
      <c r="FZ297" s="13"/>
      <c r="GA297" s="14"/>
      <c r="GC297" s="65"/>
      <c r="GD297" s="13"/>
      <c r="GE297" s="14"/>
      <c r="GG297" s="65"/>
      <c r="GH297" s="13"/>
      <c r="GI297" s="14"/>
      <c r="GK297" s="65"/>
      <c r="GL297" s="13"/>
      <c r="GM297" s="14"/>
      <c r="GO297" s="65"/>
      <c r="GP297" s="13"/>
      <c r="GQ297" s="14"/>
      <c r="GS297" s="65"/>
      <c r="GT297" s="13"/>
      <c r="GU297" s="14"/>
      <c r="GW297" s="65"/>
      <c r="GX297" s="13"/>
      <c r="GY297" s="14"/>
      <c r="HA297" s="65"/>
      <c r="HB297" s="13"/>
      <c r="HC297" s="14"/>
      <c r="HE297" s="65"/>
      <c r="HF297" s="13"/>
      <c r="HG297" s="14"/>
      <c r="HI297" s="65"/>
      <c r="HJ297" s="13"/>
      <c r="HK297" s="14"/>
      <c r="HM297" s="65"/>
      <c r="HN297" s="13"/>
      <c r="HO297" s="14"/>
      <c r="HQ297" s="65"/>
      <c r="HR297" s="13"/>
      <c r="HS297" s="14"/>
      <c r="HU297" s="65"/>
      <c r="HV297" s="13"/>
      <c r="HW297" s="14"/>
      <c r="HY297" s="65"/>
      <c r="HZ297" s="13"/>
      <c r="IA297" s="14"/>
      <c r="IC297" s="65"/>
      <c r="ID297" s="13"/>
      <c r="IE297" s="14"/>
      <c r="IG297" s="65"/>
      <c r="IH297" s="13"/>
      <c r="II297" s="14"/>
      <c r="IK297" s="65"/>
      <c r="IL297" s="13"/>
      <c r="IM297" s="14"/>
      <c r="IO297" s="65"/>
      <c r="IP297" s="13"/>
      <c r="IQ297" s="14"/>
      <c r="IS297" s="65"/>
      <c r="IT297" s="13"/>
      <c r="IU297" s="14"/>
      <c r="IW297" s="65"/>
      <c r="IX297" s="13"/>
      <c r="IY297" s="14"/>
      <c r="JA297" s="65"/>
      <c r="JB297" s="13"/>
      <c r="JC297" s="14"/>
      <c r="JE297" s="65"/>
      <c r="JF297" s="13"/>
      <c r="JG297" s="14"/>
      <c r="JI297" s="65"/>
      <c r="JJ297" s="13"/>
      <c r="JK297" s="14"/>
      <c r="JM297" s="65"/>
      <c r="JN297" s="13"/>
      <c r="JO297" s="14"/>
      <c r="JQ297" s="65"/>
      <c r="JR297" s="13"/>
      <c r="JS297" s="14"/>
      <c r="JU297" s="65"/>
      <c r="JV297" s="13"/>
      <c r="JW297" s="14"/>
      <c r="JY297" s="65"/>
      <c r="JZ297" s="13"/>
      <c r="KA297" s="14"/>
      <c r="KC297" s="65"/>
      <c r="KD297" s="13"/>
      <c r="KE297" s="14"/>
      <c r="KG297" s="65"/>
      <c r="KH297" s="13"/>
      <c r="KI297" s="14"/>
      <c r="KK297" s="65"/>
      <c r="KL297" s="13"/>
      <c r="KM297" s="14"/>
      <c r="KO297" s="65"/>
      <c r="KP297" s="13"/>
      <c r="KQ297" s="14"/>
      <c r="KS297" s="65"/>
      <c r="KT297" s="13"/>
      <c r="KU297" s="14"/>
      <c r="KW297" s="65"/>
      <c r="KX297" s="13"/>
      <c r="KY297" s="14"/>
      <c r="LA297" s="65"/>
      <c r="LB297" s="13"/>
      <c r="LC297" s="14"/>
      <c r="LE297" s="65"/>
      <c r="LF297" s="13"/>
      <c r="LG297" s="14"/>
      <c r="LI297" s="65"/>
      <c r="LJ297" s="13"/>
      <c r="LK297" s="14"/>
      <c r="LM297" s="65"/>
      <c r="LN297" s="13"/>
      <c r="LO297" s="14"/>
      <c r="LQ297" s="65"/>
      <c r="LR297" s="13"/>
      <c r="LS297" s="14"/>
      <c r="LU297" s="65"/>
      <c r="LV297" s="13"/>
      <c r="LW297" s="14"/>
      <c r="LY297" s="65"/>
      <c r="LZ297" s="13"/>
      <c r="MA297" s="14"/>
      <c r="MC297" s="65"/>
      <c r="MD297" s="13"/>
      <c r="ME297" s="14"/>
      <c r="MG297" s="65"/>
      <c r="MH297" s="13"/>
      <c r="MI297" s="14"/>
      <c r="MK297" s="65"/>
      <c r="ML297" s="13"/>
      <c r="MM297" s="14"/>
      <c r="MO297" s="65"/>
      <c r="MP297" s="13"/>
      <c r="MQ297" s="14"/>
      <c r="MS297" s="65"/>
      <c r="MT297" s="13"/>
      <c r="MU297" s="14"/>
    </row>
    <row r="298" spans="1:359" hidden="1" x14ac:dyDescent="0.25">
      <c r="A298" s="15">
        <f t="shared" ref="A298" si="201">+AH49+AL42+AP39+AT39+AX37+BB37+BF36+BJ32+BN32+BR25+BV16+BZ16+CD15+CH15+CL11+CP9+CT9</f>
        <v>23336311.770386651</v>
      </c>
      <c r="B298" s="20">
        <v>42992</v>
      </c>
      <c r="T298" s="15"/>
      <c r="U298" s="20"/>
      <c r="DY298" s="65"/>
      <c r="DZ298" s="13"/>
      <c r="EA298" s="14"/>
      <c r="EC298" s="65"/>
      <c r="ED298" s="13"/>
      <c r="EE298" s="14"/>
      <c r="EG298" s="65"/>
      <c r="EH298" s="13"/>
      <c r="EI298" s="14"/>
      <c r="EK298" s="65"/>
      <c r="EL298" s="13"/>
      <c r="EM298" s="14"/>
      <c r="EO298" s="65"/>
      <c r="EP298" s="13"/>
      <c r="EQ298" s="14"/>
      <c r="ES298" s="65"/>
      <c r="ET298" s="13"/>
      <c r="EU298" s="14"/>
      <c r="EW298" s="65"/>
      <c r="EX298" s="13"/>
      <c r="EY298" s="14"/>
      <c r="FA298" s="65"/>
      <c r="FB298" s="13"/>
      <c r="FC298" s="14"/>
      <c r="FE298" s="65"/>
      <c r="FF298" s="13"/>
      <c r="FG298" s="14"/>
      <c r="FI298" s="65"/>
      <c r="FJ298" s="13"/>
      <c r="FK298" s="14"/>
      <c r="FM298" s="65"/>
      <c r="FN298" s="13"/>
      <c r="FO298" s="14"/>
      <c r="FQ298" s="65"/>
      <c r="FR298" s="13"/>
      <c r="FS298" s="14"/>
      <c r="FU298" s="65"/>
      <c r="FV298" s="13"/>
      <c r="FW298" s="14"/>
      <c r="FY298" s="65"/>
      <c r="FZ298" s="13"/>
      <c r="GA298" s="14"/>
      <c r="GC298" s="65"/>
      <c r="GD298" s="13"/>
      <c r="GE298" s="14"/>
      <c r="GG298" s="65"/>
      <c r="GH298" s="13"/>
      <c r="GI298" s="14"/>
      <c r="GK298" s="65"/>
      <c r="GL298" s="13"/>
      <c r="GM298" s="14"/>
      <c r="GO298" s="65"/>
      <c r="GP298" s="13"/>
      <c r="GQ298" s="14"/>
      <c r="GS298" s="65"/>
      <c r="GT298" s="13"/>
      <c r="GU298" s="14"/>
      <c r="GW298" s="65"/>
      <c r="GX298" s="13"/>
      <c r="GY298" s="14"/>
      <c r="HA298" s="65"/>
      <c r="HB298" s="13"/>
      <c r="HC298" s="14"/>
      <c r="HE298" s="65"/>
      <c r="HF298" s="13"/>
      <c r="HG298" s="14"/>
      <c r="HI298" s="65"/>
      <c r="HJ298" s="13"/>
      <c r="HK298" s="14"/>
      <c r="HM298" s="65"/>
      <c r="HN298" s="13"/>
      <c r="HO298" s="14"/>
      <c r="HQ298" s="65"/>
      <c r="HR298" s="13"/>
      <c r="HS298" s="14"/>
      <c r="HU298" s="65"/>
      <c r="HV298" s="13"/>
      <c r="HW298" s="14"/>
      <c r="HY298" s="65"/>
      <c r="HZ298" s="13"/>
      <c r="IA298" s="14"/>
      <c r="IC298" s="65"/>
      <c r="ID298" s="13"/>
      <c r="IE298" s="14"/>
      <c r="IG298" s="65"/>
      <c r="IH298" s="13"/>
      <c r="II298" s="14"/>
      <c r="IK298" s="65"/>
      <c r="IL298" s="13"/>
      <c r="IM298" s="14"/>
      <c r="IO298" s="65"/>
      <c r="IP298" s="13"/>
      <c r="IQ298" s="14"/>
      <c r="IS298" s="65"/>
      <c r="IT298" s="13"/>
      <c r="IU298" s="14"/>
      <c r="IW298" s="65"/>
      <c r="IX298" s="13"/>
      <c r="IY298" s="14"/>
      <c r="JA298" s="65"/>
      <c r="JB298" s="13"/>
      <c r="JC298" s="14"/>
      <c r="JE298" s="65"/>
      <c r="JF298" s="13"/>
      <c r="JG298" s="14"/>
      <c r="JI298" s="65"/>
      <c r="JJ298" s="13"/>
      <c r="JK298" s="14"/>
      <c r="JM298" s="65"/>
      <c r="JN298" s="13"/>
      <c r="JO298" s="14"/>
      <c r="JQ298" s="65"/>
      <c r="JR298" s="13"/>
      <c r="JS298" s="14"/>
      <c r="JU298" s="65"/>
      <c r="JV298" s="13"/>
      <c r="JW298" s="14"/>
      <c r="JY298" s="65"/>
      <c r="JZ298" s="13"/>
      <c r="KA298" s="14"/>
      <c r="KC298" s="65"/>
      <c r="KD298" s="13"/>
      <c r="KE298" s="14"/>
      <c r="KG298" s="65"/>
      <c r="KH298" s="13"/>
      <c r="KI298" s="14"/>
      <c r="KK298" s="65"/>
      <c r="KL298" s="13"/>
      <c r="KM298" s="14"/>
      <c r="KO298" s="65"/>
      <c r="KP298" s="13"/>
      <c r="KQ298" s="14"/>
      <c r="KS298" s="65"/>
      <c r="KT298" s="13"/>
      <c r="KU298" s="14"/>
      <c r="KW298" s="65"/>
      <c r="KX298" s="13"/>
      <c r="KY298" s="14"/>
      <c r="LA298" s="65"/>
      <c r="LB298" s="13"/>
      <c r="LC298" s="14"/>
      <c r="LE298" s="65"/>
      <c r="LF298" s="13"/>
      <c r="LG298" s="14"/>
      <c r="LI298" s="65"/>
      <c r="LJ298" s="13"/>
      <c r="LK298" s="14"/>
      <c r="LM298" s="65"/>
      <c r="LN298" s="13"/>
      <c r="LO298" s="14"/>
      <c r="LQ298" s="65"/>
      <c r="LR298" s="13"/>
      <c r="LS298" s="14"/>
      <c r="LU298" s="65"/>
      <c r="LV298" s="13"/>
      <c r="LW298" s="14"/>
      <c r="LY298" s="65"/>
      <c r="LZ298" s="13"/>
      <c r="MA298" s="14"/>
      <c r="MC298" s="65"/>
      <c r="MD298" s="13"/>
      <c r="ME298" s="14"/>
      <c r="MG298" s="65"/>
      <c r="MH298" s="13"/>
      <c r="MI298" s="14"/>
      <c r="MK298" s="65"/>
      <c r="ML298" s="13"/>
      <c r="MM298" s="14"/>
      <c r="MO298" s="65"/>
      <c r="MP298" s="13"/>
      <c r="MQ298" s="14"/>
      <c r="MS298" s="65"/>
      <c r="MT298" s="13"/>
      <c r="MU298" s="14"/>
    </row>
    <row r="299" spans="1:359" hidden="1" x14ac:dyDescent="0.25">
      <c r="A299" s="15">
        <f>+AH50+AL43+AP40+AT40+AX38+BB38+BF37+BJ33+BN33+BR26+BV17+BZ17+CD16+CH16+CL12+CP10+CT10+CX8</f>
        <v>25184937.645409126</v>
      </c>
      <c r="B299" s="20">
        <v>42993</v>
      </c>
      <c r="T299" s="15"/>
      <c r="U299" s="20"/>
      <c r="DY299" s="65"/>
      <c r="DZ299" s="13"/>
      <c r="EA299" s="14"/>
      <c r="EC299" s="65"/>
      <c r="ED299" s="13"/>
      <c r="EE299" s="14"/>
      <c r="EG299" s="65"/>
      <c r="EH299" s="13"/>
      <c r="EI299" s="14"/>
      <c r="EK299" s="65"/>
      <c r="EL299" s="13"/>
      <c r="EM299" s="14"/>
      <c r="EO299" s="65"/>
      <c r="EP299" s="13"/>
      <c r="EQ299" s="14"/>
      <c r="ES299" s="65"/>
      <c r="ET299" s="13"/>
      <c r="EU299" s="14"/>
      <c r="EW299" s="65"/>
      <c r="EX299" s="13"/>
      <c r="EY299" s="14"/>
      <c r="FA299" s="65"/>
      <c r="FB299" s="13"/>
      <c r="FC299" s="14"/>
      <c r="FE299" s="65"/>
      <c r="FF299" s="13"/>
      <c r="FG299" s="14"/>
      <c r="FI299" s="65"/>
      <c r="FJ299" s="13"/>
      <c r="FK299" s="14"/>
      <c r="FM299" s="65"/>
      <c r="FN299" s="13"/>
      <c r="FO299" s="14"/>
      <c r="FQ299" s="65"/>
      <c r="FR299" s="13"/>
      <c r="FS299" s="14"/>
      <c r="FU299" s="65"/>
      <c r="FV299" s="13"/>
      <c r="FW299" s="14"/>
      <c r="FY299" s="65"/>
      <c r="FZ299" s="13"/>
      <c r="GA299" s="14"/>
      <c r="GC299" s="65"/>
      <c r="GD299" s="13"/>
      <c r="GE299" s="14"/>
      <c r="GG299" s="65"/>
      <c r="GH299" s="13"/>
      <c r="GI299" s="14"/>
      <c r="GK299" s="65"/>
      <c r="GL299" s="13"/>
      <c r="GM299" s="14"/>
      <c r="GO299" s="65"/>
      <c r="GP299" s="13"/>
      <c r="GQ299" s="14"/>
      <c r="GS299" s="65"/>
      <c r="GT299" s="13"/>
      <c r="GU299" s="14"/>
      <c r="GW299" s="65"/>
      <c r="GX299" s="13"/>
      <c r="GY299" s="14"/>
      <c r="HA299" s="65"/>
      <c r="HB299" s="13"/>
      <c r="HC299" s="14"/>
      <c r="HE299" s="65"/>
      <c r="HF299" s="13"/>
      <c r="HG299" s="14"/>
      <c r="HI299" s="65"/>
      <c r="HJ299" s="13"/>
      <c r="HK299" s="14"/>
      <c r="HM299" s="65"/>
      <c r="HN299" s="13"/>
      <c r="HO299" s="14"/>
      <c r="HQ299" s="65"/>
      <c r="HR299" s="13"/>
      <c r="HS299" s="14"/>
      <c r="HU299" s="65"/>
      <c r="HV299" s="13"/>
      <c r="HW299" s="14"/>
      <c r="HY299" s="65"/>
      <c r="HZ299" s="13"/>
      <c r="IA299" s="14"/>
      <c r="IC299" s="65"/>
      <c r="ID299" s="13"/>
      <c r="IE299" s="14"/>
      <c r="IG299" s="65"/>
      <c r="IH299" s="13"/>
      <c r="II299" s="14"/>
      <c r="IK299" s="65"/>
      <c r="IL299" s="13"/>
      <c r="IM299" s="14"/>
      <c r="IO299" s="65"/>
      <c r="IP299" s="13"/>
      <c r="IQ299" s="14"/>
      <c r="IS299" s="65"/>
      <c r="IT299" s="13"/>
      <c r="IU299" s="14"/>
      <c r="IW299" s="65"/>
      <c r="IX299" s="13"/>
      <c r="IY299" s="14"/>
      <c r="JA299" s="65"/>
      <c r="JB299" s="13"/>
      <c r="JC299" s="14"/>
      <c r="JE299" s="65"/>
      <c r="JF299" s="13"/>
      <c r="JG299" s="14"/>
      <c r="JI299" s="65"/>
      <c r="JJ299" s="13"/>
      <c r="JK299" s="14"/>
      <c r="JM299" s="65"/>
      <c r="JN299" s="13"/>
      <c r="JO299" s="14"/>
      <c r="JQ299" s="65"/>
      <c r="JR299" s="13"/>
      <c r="JS299" s="14"/>
      <c r="JU299" s="65"/>
      <c r="JV299" s="13"/>
      <c r="JW299" s="14"/>
      <c r="JY299" s="65"/>
      <c r="JZ299" s="13"/>
      <c r="KA299" s="14"/>
      <c r="KC299" s="65"/>
      <c r="KD299" s="13"/>
      <c r="KE299" s="14"/>
      <c r="KG299" s="65"/>
      <c r="KH299" s="13"/>
      <c r="KI299" s="14"/>
      <c r="KK299" s="65"/>
      <c r="KL299" s="13"/>
      <c r="KM299" s="14"/>
      <c r="KO299" s="65"/>
      <c r="KP299" s="13"/>
      <c r="KQ299" s="14"/>
      <c r="KS299" s="65"/>
      <c r="KT299" s="13"/>
      <c r="KU299" s="14"/>
      <c r="KW299" s="65"/>
      <c r="KX299" s="13"/>
      <c r="KY299" s="14"/>
      <c r="LA299" s="65"/>
      <c r="LB299" s="13"/>
      <c r="LC299" s="14"/>
      <c r="LE299" s="65"/>
      <c r="LF299" s="13"/>
      <c r="LG299" s="14"/>
      <c r="LI299" s="65"/>
      <c r="LJ299" s="13"/>
      <c r="LK299" s="14"/>
      <c r="LM299" s="65"/>
      <c r="LN299" s="13"/>
      <c r="LO299" s="14"/>
      <c r="LQ299" s="65"/>
      <c r="LR299" s="13"/>
      <c r="LS299" s="14"/>
      <c r="LU299" s="65"/>
      <c r="LV299" s="13"/>
      <c r="LW299" s="14"/>
      <c r="LY299" s="65"/>
      <c r="LZ299" s="13"/>
      <c r="MA299" s="14"/>
      <c r="MC299" s="65"/>
      <c r="MD299" s="13"/>
      <c r="ME299" s="14"/>
      <c r="MG299" s="65"/>
      <c r="MH299" s="13"/>
      <c r="MI299" s="14"/>
      <c r="MK299" s="65"/>
      <c r="ML299" s="13"/>
      <c r="MM299" s="14"/>
      <c r="MO299" s="65"/>
      <c r="MP299" s="13"/>
      <c r="MQ299" s="14"/>
      <c r="MS299" s="65"/>
      <c r="MT299" s="13"/>
      <c r="MU299" s="14"/>
    </row>
    <row r="300" spans="1:359" hidden="1" x14ac:dyDescent="0.25">
      <c r="A300" s="15">
        <f t="shared" ref="A300:A303" si="202">+AH51+AL44+AP41+AT41+AX39+BB39+BF38+BJ34+BN34+BR27+BV18+BZ18+CD17+CH17+CL13+CP11+CT11+CX9</f>
        <v>25186230.60215243</v>
      </c>
      <c r="B300" s="20">
        <v>42994</v>
      </c>
      <c r="T300" s="15"/>
      <c r="U300" s="20"/>
      <c r="DY300" s="65"/>
      <c r="DZ300" s="13"/>
      <c r="EA300" s="14"/>
      <c r="EC300" s="65"/>
      <c r="ED300" s="13"/>
      <c r="EE300" s="14"/>
      <c r="EG300" s="65"/>
      <c r="EH300" s="13"/>
      <c r="EI300" s="14"/>
      <c r="EK300" s="65"/>
      <c r="EL300" s="13"/>
      <c r="EM300" s="14"/>
      <c r="EO300" s="65"/>
      <c r="EP300" s="13"/>
      <c r="EQ300" s="14"/>
      <c r="ES300" s="65"/>
      <c r="ET300" s="13"/>
      <c r="EU300" s="14"/>
      <c r="EW300" s="65"/>
      <c r="EX300" s="13"/>
      <c r="EY300" s="14"/>
      <c r="FA300" s="65"/>
      <c r="FB300" s="13"/>
      <c r="FC300" s="14"/>
      <c r="FE300" s="65"/>
      <c r="FF300" s="13"/>
      <c r="FG300" s="14"/>
      <c r="FI300" s="65"/>
      <c r="FJ300" s="13"/>
      <c r="FK300" s="14"/>
      <c r="FM300" s="65"/>
      <c r="FN300" s="13"/>
      <c r="FO300" s="14"/>
      <c r="FQ300" s="65"/>
      <c r="FR300" s="13"/>
      <c r="FS300" s="14"/>
      <c r="FU300" s="65"/>
      <c r="FV300" s="13"/>
      <c r="FW300" s="14"/>
      <c r="FY300" s="65"/>
      <c r="FZ300" s="13"/>
      <c r="GA300" s="14"/>
      <c r="GC300" s="65"/>
      <c r="GD300" s="13"/>
      <c r="GE300" s="14"/>
      <c r="GG300" s="65"/>
      <c r="GH300" s="13"/>
      <c r="GI300" s="14"/>
      <c r="GK300" s="65"/>
      <c r="GL300" s="13"/>
      <c r="GM300" s="14"/>
      <c r="GO300" s="65"/>
      <c r="GP300" s="13"/>
      <c r="GQ300" s="14"/>
      <c r="GS300" s="65"/>
      <c r="GT300" s="13"/>
      <c r="GU300" s="14"/>
      <c r="GW300" s="65"/>
      <c r="GX300" s="13"/>
      <c r="GY300" s="14"/>
      <c r="HA300" s="65"/>
      <c r="HB300" s="13"/>
      <c r="HC300" s="14"/>
      <c r="HE300" s="65"/>
      <c r="HF300" s="13"/>
      <c r="HG300" s="14"/>
      <c r="HI300" s="65"/>
      <c r="HJ300" s="13"/>
      <c r="HK300" s="14"/>
      <c r="HM300" s="65"/>
      <c r="HN300" s="13"/>
      <c r="HO300" s="14"/>
      <c r="HQ300" s="65"/>
      <c r="HR300" s="13"/>
      <c r="HS300" s="14"/>
      <c r="HU300" s="65"/>
      <c r="HV300" s="13"/>
      <c r="HW300" s="14"/>
      <c r="HY300" s="65"/>
      <c r="HZ300" s="13"/>
      <c r="IA300" s="14"/>
      <c r="IC300" s="65"/>
      <c r="ID300" s="13"/>
      <c r="IE300" s="14"/>
      <c r="IG300" s="65"/>
      <c r="IH300" s="13"/>
      <c r="II300" s="14"/>
      <c r="IK300" s="65"/>
      <c r="IL300" s="13"/>
      <c r="IM300" s="14"/>
      <c r="IO300" s="65"/>
      <c r="IP300" s="13"/>
      <c r="IQ300" s="14"/>
      <c r="IS300" s="65"/>
      <c r="IT300" s="13"/>
      <c r="IU300" s="14"/>
      <c r="IW300" s="65"/>
      <c r="IX300" s="13"/>
      <c r="IY300" s="14"/>
      <c r="JA300" s="65"/>
      <c r="JB300" s="13"/>
      <c r="JC300" s="14"/>
      <c r="JE300" s="65"/>
      <c r="JF300" s="13"/>
      <c r="JG300" s="14"/>
      <c r="JI300" s="65"/>
      <c r="JJ300" s="13"/>
      <c r="JK300" s="14"/>
      <c r="JM300" s="65"/>
      <c r="JN300" s="13"/>
      <c r="JO300" s="14"/>
      <c r="JQ300" s="65"/>
      <c r="JR300" s="13"/>
      <c r="JS300" s="14"/>
      <c r="JU300" s="65"/>
      <c r="JV300" s="13"/>
      <c r="JW300" s="14"/>
      <c r="JY300" s="65"/>
      <c r="JZ300" s="13"/>
      <c r="KA300" s="14"/>
      <c r="KC300" s="65"/>
      <c r="KD300" s="13"/>
      <c r="KE300" s="14"/>
      <c r="KG300" s="65"/>
      <c r="KH300" s="13"/>
      <c r="KI300" s="14"/>
      <c r="KK300" s="65"/>
      <c r="KL300" s="13"/>
      <c r="KM300" s="14"/>
      <c r="KO300" s="65"/>
      <c r="KP300" s="13"/>
      <c r="KQ300" s="14"/>
      <c r="KS300" s="65"/>
      <c r="KT300" s="13"/>
      <c r="KU300" s="14"/>
      <c r="KW300" s="65"/>
      <c r="KX300" s="13"/>
      <c r="KY300" s="14"/>
      <c r="LA300" s="65"/>
      <c r="LB300" s="13"/>
      <c r="LC300" s="14"/>
      <c r="LE300" s="65"/>
      <c r="LF300" s="13"/>
      <c r="LG300" s="14"/>
      <c r="LI300" s="65"/>
      <c r="LJ300" s="13"/>
      <c r="LK300" s="14"/>
      <c r="LM300" s="65"/>
      <c r="LN300" s="13"/>
      <c r="LO300" s="14"/>
      <c r="LQ300" s="65"/>
      <c r="LR300" s="13"/>
      <c r="LS300" s="14"/>
      <c r="LU300" s="65"/>
      <c r="LV300" s="13"/>
      <c r="LW300" s="14"/>
      <c r="LY300" s="65"/>
      <c r="LZ300" s="13"/>
      <c r="MA300" s="14"/>
      <c r="MC300" s="65"/>
      <c r="MD300" s="13"/>
      <c r="ME300" s="14"/>
      <c r="MG300" s="65"/>
      <c r="MH300" s="13"/>
      <c r="MI300" s="14"/>
      <c r="MK300" s="65"/>
      <c r="ML300" s="13"/>
      <c r="MM300" s="14"/>
      <c r="MO300" s="65"/>
      <c r="MP300" s="13"/>
      <c r="MQ300" s="14"/>
      <c r="MS300" s="65"/>
      <c r="MT300" s="13"/>
      <c r="MU300" s="14"/>
    </row>
    <row r="301" spans="1:359" hidden="1" x14ac:dyDescent="0.25">
      <c r="A301" s="15">
        <f t="shared" si="202"/>
        <v>25187523.696624901</v>
      </c>
      <c r="B301" s="20">
        <v>42995</v>
      </c>
      <c r="T301" s="15"/>
      <c r="U301" s="20"/>
      <c r="DY301" s="65"/>
      <c r="DZ301" s="13"/>
      <c r="EA301" s="14"/>
      <c r="EC301" s="65"/>
      <c r="ED301" s="13"/>
      <c r="EE301" s="14"/>
      <c r="EG301" s="65"/>
      <c r="EH301" s="13"/>
      <c r="EI301" s="14"/>
      <c r="EK301" s="65"/>
      <c r="EL301" s="13"/>
      <c r="EM301" s="14"/>
      <c r="EO301" s="65"/>
      <c r="EP301" s="13"/>
      <c r="EQ301" s="14"/>
      <c r="ES301" s="65"/>
      <c r="ET301" s="13"/>
      <c r="EU301" s="14"/>
      <c r="EW301" s="65"/>
      <c r="EX301" s="13"/>
      <c r="EY301" s="14"/>
      <c r="FA301" s="65"/>
      <c r="FB301" s="13"/>
      <c r="FC301" s="14"/>
      <c r="FE301" s="65"/>
      <c r="FF301" s="13"/>
      <c r="FG301" s="14"/>
      <c r="FI301" s="65"/>
      <c r="FJ301" s="13"/>
      <c r="FK301" s="14"/>
      <c r="FM301" s="65"/>
      <c r="FN301" s="13"/>
      <c r="FO301" s="14"/>
      <c r="FQ301" s="65"/>
      <c r="FR301" s="13"/>
      <c r="FS301" s="14"/>
      <c r="FU301" s="65"/>
      <c r="FV301" s="13"/>
      <c r="FW301" s="14"/>
      <c r="FY301" s="65"/>
      <c r="FZ301" s="13"/>
      <c r="GA301" s="14"/>
      <c r="GC301" s="65"/>
      <c r="GD301" s="13"/>
      <c r="GE301" s="14"/>
      <c r="GG301" s="65"/>
      <c r="GH301" s="13"/>
      <c r="GI301" s="14"/>
      <c r="GK301" s="65"/>
      <c r="GL301" s="13"/>
      <c r="GM301" s="14"/>
      <c r="GO301" s="65"/>
      <c r="GP301" s="13"/>
      <c r="GQ301" s="14"/>
      <c r="GS301" s="65"/>
      <c r="GT301" s="13"/>
      <c r="GU301" s="14"/>
      <c r="GW301" s="65"/>
      <c r="GX301" s="13"/>
      <c r="GY301" s="14"/>
      <c r="HA301" s="65"/>
      <c r="HB301" s="13"/>
      <c r="HC301" s="14"/>
      <c r="HE301" s="65"/>
      <c r="HF301" s="13"/>
      <c r="HG301" s="14"/>
      <c r="HI301" s="65"/>
      <c r="HJ301" s="13"/>
      <c r="HK301" s="14"/>
      <c r="HM301" s="65"/>
      <c r="HN301" s="13"/>
      <c r="HO301" s="14"/>
      <c r="HQ301" s="65"/>
      <c r="HR301" s="13"/>
      <c r="HS301" s="14"/>
      <c r="HU301" s="65"/>
      <c r="HV301" s="13"/>
      <c r="HW301" s="14"/>
      <c r="HY301" s="65"/>
      <c r="HZ301" s="13"/>
      <c r="IA301" s="14"/>
      <c r="IC301" s="65"/>
      <c r="ID301" s="13"/>
      <c r="IE301" s="14"/>
      <c r="IG301" s="65"/>
      <c r="IH301" s="13"/>
      <c r="II301" s="14"/>
      <c r="IK301" s="65"/>
      <c r="IL301" s="13"/>
      <c r="IM301" s="14"/>
      <c r="IO301" s="65"/>
      <c r="IP301" s="13"/>
      <c r="IQ301" s="14"/>
      <c r="IS301" s="65"/>
      <c r="IT301" s="13"/>
      <c r="IU301" s="14"/>
      <c r="IW301" s="65"/>
      <c r="IX301" s="13"/>
      <c r="IY301" s="14"/>
      <c r="JA301" s="65"/>
      <c r="JB301" s="13"/>
      <c r="JC301" s="14"/>
      <c r="JE301" s="65"/>
      <c r="JF301" s="13"/>
      <c r="JG301" s="14"/>
      <c r="JI301" s="65"/>
      <c r="JJ301" s="13"/>
      <c r="JK301" s="14"/>
      <c r="JM301" s="65"/>
      <c r="JN301" s="13"/>
      <c r="JO301" s="14"/>
      <c r="JQ301" s="65"/>
      <c r="JR301" s="13"/>
      <c r="JS301" s="14"/>
      <c r="JU301" s="65"/>
      <c r="JV301" s="13"/>
      <c r="JW301" s="14"/>
      <c r="JY301" s="65"/>
      <c r="JZ301" s="13"/>
      <c r="KA301" s="14"/>
      <c r="KC301" s="65"/>
      <c r="KD301" s="13"/>
      <c r="KE301" s="14"/>
      <c r="KG301" s="65"/>
      <c r="KH301" s="13"/>
      <c r="KI301" s="14"/>
      <c r="KK301" s="65"/>
      <c r="KL301" s="13"/>
      <c r="KM301" s="14"/>
      <c r="KO301" s="65"/>
      <c r="KP301" s="13"/>
      <c r="KQ301" s="14"/>
      <c r="KS301" s="65"/>
      <c r="KT301" s="13"/>
      <c r="KU301" s="14"/>
      <c r="KW301" s="65"/>
      <c r="KX301" s="13"/>
      <c r="KY301" s="14"/>
      <c r="LA301" s="65"/>
      <c r="LB301" s="13"/>
      <c r="LC301" s="14"/>
      <c r="LE301" s="65"/>
      <c r="LF301" s="13"/>
      <c r="LG301" s="14"/>
      <c r="LI301" s="65"/>
      <c r="LJ301" s="13"/>
      <c r="LK301" s="14"/>
      <c r="LM301" s="65"/>
      <c r="LN301" s="13"/>
      <c r="LO301" s="14"/>
      <c r="LQ301" s="65"/>
      <c r="LR301" s="13"/>
      <c r="LS301" s="14"/>
      <c r="LU301" s="65"/>
      <c r="LV301" s="13"/>
      <c r="LW301" s="14"/>
      <c r="LY301" s="65"/>
      <c r="LZ301" s="13"/>
      <c r="MA301" s="14"/>
      <c r="MC301" s="65"/>
      <c r="MD301" s="13"/>
      <c r="ME301" s="14"/>
      <c r="MG301" s="65"/>
      <c r="MH301" s="13"/>
      <c r="MI301" s="14"/>
      <c r="MK301" s="65"/>
      <c r="ML301" s="13"/>
      <c r="MM301" s="14"/>
      <c r="MO301" s="65"/>
      <c r="MP301" s="13"/>
      <c r="MQ301" s="14"/>
      <c r="MS301" s="65"/>
      <c r="MT301" s="13"/>
      <c r="MU301" s="14"/>
    </row>
    <row r="302" spans="1:359" hidden="1" x14ac:dyDescent="0.25">
      <c r="A302" s="15">
        <f t="shared" si="202"/>
        <v>25188816.928849399</v>
      </c>
      <c r="B302" s="20">
        <v>42996</v>
      </c>
      <c r="T302" s="15"/>
      <c r="U302" s="20"/>
      <c r="DY302" s="65"/>
      <c r="DZ302" s="13"/>
      <c r="EA302" s="14"/>
      <c r="EC302" s="65"/>
      <c r="ED302" s="13"/>
      <c r="EE302" s="14"/>
      <c r="EG302" s="65"/>
      <c r="EH302" s="13"/>
      <c r="EI302" s="14"/>
      <c r="EK302" s="65"/>
      <c r="EL302" s="13"/>
      <c r="EM302" s="14"/>
      <c r="EO302" s="65"/>
      <c r="EP302" s="13"/>
      <c r="EQ302" s="14"/>
      <c r="ES302" s="65"/>
      <c r="ET302" s="13"/>
      <c r="EU302" s="14"/>
      <c r="EW302" s="65"/>
      <c r="EX302" s="13"/>
      <c r="EY302" s="14"/>
      <c r="FA302" s="65"/>
      <c r="FB302" s="13"/>
      <c r="FC302" s="14"/>
      <c r="FE302" s="65"/>
      <c r="FF302" s="13"/>
      <c r="FG302" s="14"/>
      <c r="FI302" s="65"/>
      <c r="FJ302" s="13"/>
      <c r="FK302" s="14"/>
      <c r="FM302" s="65"/>
      <c r="FN302" s="13"/>
      <c r="FO302" s="14"/>
      <c r="FQ302" s="65"/>
      <c r="FR302" s="13"/>
      <c r="FS302" s="14"/>
      <c r="FU302" s="65"/>
      <c r="FV302" s="13"/>
      <c r="FW302" s="14"/>
      <c r="FY302" s="65"/>
      <c r="FZ302" s="13"/>
      <c r="GA302" s="14"/>
      <c r="GC302" s="65"/>
      <c r="GD302" s="13"/>
      <c r="GE302" s="14"/>
      <c r="GG302" s="65"/>
      <c r="GH302" s="13"/>
      <c r="GI302" s="14"/>
      <c r="GK302" s="65"/>
      <c r="GL302" s="13"/>
      <c r="GM302" s="14"/>
      <c r="GO302" s="65"/>
      <c r="GP302" s="13"/>
      <c r="GQ302" s="14"/>
      <c r="GS302" s="65"/>
      <c r="GT302" s="13"/>
      <c r="GU302" s="14"/>
      <c r="GW302" s="65"/>
      <c r="GX302" s="13"/>
      <c r="GY302" s="14"/>
      <c r="HA302" s="65"/>
      <c r="HB302" s="13"/>
      <c r="HC302" s="14"/>
      <c r="HE302" s="65"/>
      <c r="HF302" s="13"/>
      <c r="HG302" s="14"/>
      <c r="HI302" s="65"/>
      <c r="HJ302" s="13"/>
      <c r="HK302" s="14"/>
      <c r="HM302" s="65"/>
      <c r="HN302" s="13"/>
      <c r="HO302" s="14"/>
      <c r="HQ302" s="65"/>
      <c r="HR302" s="13"/>
      <c r="HS302" s="14"/>
      <c r="HU302" s="65"/>
      <c r="HV302" s="13"/>
      <c r="HW302" s="14"/>
      <c r="HY302" s="65"/>
      <c r="HZ302" s="13"/>
      <c r="IA302" s="14"/>
      <c r="IC302" s="65"/>
      <c r="ID302" s="13"/>
      <c r="IE302" s="14"/>
      <c r="IG302" s="65"/>
      <c r="IH302" s="13"/>
      <c r="II302" s="14"/>
      <c r="IK302" s="65"/>
      <c r="IL302" s="13"/>
      <c r="IM302" s="14"/>
      <c r="IO302" s="65"/>
      <c r="IP302" s="13"/>
      <c r="IQ302" s="14"/>
      <c r="IS302" s="65"/>
      <c r="IT302" s="13"/>
      <c r="IU302" s="14"/>
      <c r="IW302" s="65"/>
      <c r="IX302" s="13"/>
      <c r="IY302" s="14"/>
      <c r="JA302" s="65"/>
      <c r="JB302" s="13"/>
      <c r="JC302" s="14"/>
      <c r="JE302" s="65"/>
      <c r="JF302" s="13"/>
      <c r="JG302" s="14"/>
      <c r="JI302" s="65"/>
      <c r="JJ302" s="13"/>
      <c r="JK302" s="14"/>
      <c r="JM302" s="65"/>
      <c r="JN302" s="13"/>
      <c r="JO302" s="14"/>
      <c r="JQ302" s="65"/>
      <c r="JR302" s="13"/>
      <c r="JS302" s="14"/>
      <c r="JU302" s="65"/>
      <c r="JV302" s="13"/>
      <c r="JW302" s="14"/>
      <c r="JY302" s="65"/>
      <c r="JZ302" s="13"/>
      <c r="KA302" s="14"/>
      <c r="KC302" s="65"/>
      <c r="KD302" s="13"/>
      <c r="KE302" s="14"/>
      <c r="KG302" s="65"/>
      <c r="KH302" s="13"/>
      <c r="KI302" s="14"/>
      <c r="KK302" s="65"/>
      <c r="KL302" s="13"/>
      <c r="KM302" s="14"/>
      <c r="KO302" s="65"/>
      <c r="KP302" s="13"/>
      <c r="KQ302" s="14"/>
      <c r="KS302" s="65"/>
      <c r="KT302" s="13"/>
      <c r="KU302" s="14"/>
      <c r="KW302" s="65"/>
      <c r="KX302" s="13"/>
      <c r="KY302" s="14"/>
      <c r="LA302" s="65"/>
      <c r="LB302" s="13"/>
      <c r="LC302" s="14"/>
      <c r="LE302" s="65"/>
      <c r="LF302" s="13"/>
      <c r="LG302" s="14"/>
      <c r="LI302" s="65"/>
      <c r="LJ302" s="13"/>
      <c r="LK302" s="14"/>
      <c r="LM302" s="65"/>
      <c r="LN302" s="13"/>
      <c r="LO302" s="14"/>
      <c r="LQ302" s="65"/>
      <c r="LR302" s="13"/>
      <c r="LS302" s="14"/>
      <c r="LU302" s="65"/>
      <c r="LV302" s="13"/>
      <c r="LW302" s="14"/>
      <c r="LY302" s="65"/>
      <c r="LZ302" s="13"/>
      <c r="MA302" s="14"/>
      <c r="MC302" s="65"/>
      <c r="MD302" s="13"/>
      <c r="ME302" s="14"/>
      <c r="MG302" s="65"/>
      <c r="MH302" s="13"/>
      <c r="MI302" s="14"/>
      <c r="MK302" s="65"/>
      <c r="ML302" s="13"/>
      <c r="MM302" s="14"/>
      <c r="MO302" s="65"/>
      <c r="MP302" s="13"/>
      <c r="MQ302" s="14"/>
      <c r="MS302" s="65"/>
      <c r="MT302" s="13"/>
      <c r="MU302" s="14"/>
    </row>
    <row r="303" spans="1:359" hidden="1" x14ac:dyDescent="0.25">
      <c r="A303" s="15">
        <f t="shared" si="202"/>
        <v>25190110.298848789</v>
      </c>
      <c r="B303" s="20">
        <v>42997</v>
      </c>
      <c r="T303" s="15"/>
      <c r="U303" s="20"/>
      <c r="DY303" s="65"/>
      <c r="DZ303" s="13"/>
      <c r="EA303" s="14"/>
      <c r="EC303" s="65"/>
      <c r="ED303" s="13"/>
      <c r="EE303" s="14"/>
      <c r="EG303" s="65"/>
      <c r="EH303" s="13"/>
      <c r="EI303" s="14"/>
      <c r="EK303" s="65"/>
      <c r="EL303" s="13"/>
      <c r="EM303" s="14"/>
      <c r="EO303" s="65"/>
      <c r="EP303" s="13"/>
      <c r="EQ303" s="14"/>
      <c r="ES303" s="65"/>
      <c r="ET303" s="13"/>
      <c r="EU303" s="14"/>
      <c r="EW303" s="65"/>
      <c r="EX303" s="13"/>
      <c r="EY303" s="14"/>
      <c r="FA303" s="65"/>
      <c r="FB303" s="13"/>
      <c r="FC303" s="14"/>
      <c r="FE303" s="65"/>
      <c r="FF303" s="13"/>
      <c r="FG303" s="14"/>
      <c r="FI303" s="65"/>
      <c r="FJ303" s="13"/>
      <c r="FK303" s="14"/>
      <c r="FM303" s="65"/>
      <c r="FN303" s="13"/>
      <c r="FO303" s="14"/>
      <c r="FQ303" s="65"/>
      <c r="FR303" s="13"/>
      <c r="FS303" s="14"/>
      <c r="FU303" s="65"/>
      <c r="FV303" s="13"/>
      <c r="FW303" s="14"/>
      <c r="FY303" s="65"/>
      <c r="FZ303" s="13"/>
      <c r="GA303" s="14"/>
      <c r="GC303" s="65"/>
      <c r="GD303" s="13"/>
      <c r="GE303" s="14"/>
      <c r="GG303" s="65"/>
      <c r="GH303" s="13"/>
      <c r="GI303" s="14"/>
      <c r="GK303" s="65"/>
      <c r="GL303" s="13"/>
      <c r="GM303" s="14"/>
      <c r="GO303" s="65"/>
      <c r="GP303" s="13"/>
      <c r="GQ303" s="14"/>
      <c r="GS303" s="65"/>
      <c r="GT303" s="13"/>
      <c r="GU303" s="14"/>
      <c r="GW303" s="65"/>
      <c r="GX303" s="13"/>
      <c r="GY303" s="14"/>
      <c r="HA303" s="65"/>
      <c r="HB303" s="13"/>
      <c r="HC303" s="14"/>
      <c r="HE303" s="65"/>
      <c r="HF303" s="13"/>
      <c r="HG303" s="14"/>
      <c r="HI303" s="65"/>
      <c r="HJ303" s="13"/>
      <c r="HK303" s="14"/>
      <c r="HM303" s="65"/>
      <c r="HN303" s="13"/>
      <c r="HO303" s="14"/>
      <c r="HQ303" s="65"/>
      <c r="HR303" s="13"/>
      <c r="HS303" s="14"/>
      <c r="HU303" s="65"/>
      <c r="HV303" s="13"/>
      <c r="HW303" s="14"/>
      <c r="HY303" s="65"/>
      <c r="HZ303" s="13"/>
      <c r="IA303" s="14"/>
      <c r="IC303" s="65"/>
      <c r="ID303" s="13"/>
      <c r="IE303" s="14"/>
      <c r="IG303" s="65"/>
      <c r="IH303" s="13"/>
      <c r="II303" s="14"/>
      <c r="IK303" s="65"/>
      <c r="IL303" s="13"/>
      <c r="IM303" s="14"/>
      <c r="IO303" s="65"/>
      <c r="IP303" s="13"/>
      <c r="IQ303" s="14"/>
      <c r="IS303" s="65"/>
      <c r="IT303" s="13"/>
      <c r="IU303" s="14"/>
      <c r="IW303" s="65"/>
      <c r="IX303" s="13"/>
      <c r="IY303" s="14"/>
      <c r="JA303" s="65"/>
      <c r="JB303" s="13"/>
      <c r="JC303" s="14"/>
      <c r="JE303" s="65"/>
      <c r="JF303" s="13"/>
      <c r="JG303" s="14"/>
      <c r="JI303" s="65"/>
      <c r="JJ303" s="13"/>
      <c r="JK303" s="14"/>
      <c r="JM303" s="65"/>
      <c r="JN303" s="13"/>
      <c r="JO303" s="14"/>
      <c r="JQ303" s="65"/>
      <c r="JR303" s="13"/>
      <c r="JS303" s="14"/>
      <c r="JU303" s="65"/>
      <c r="JV303" s="13"/>
      <c r="JW303" s="14"/>
      <c r="JY303" s="65"/>
      <c r="JZ303" s="13"/>
      <c r="KA303" s="14"/>
      <c r="KC303" s="65"/>
      <c r="KD303" s="13"/>
      <c r="KE303" s="14"/>
      <c r="KG303" s="65"/>
      <c r="KH303" s="13"/>
      <c r="KI303" s="14"/>
      <c r="KK303" s="65"/>
      <c r="KL303" s="13"/>
      <c r="KM303" s="14"/>
      <c r="KO303" s="65"/>
      <c r="KP303" s="13"/>
      <c r="KQ303" s="14"/>
      <c r="KS303" s="65"/>
      <c r="KT303" s="13"/>
      <c r="KU303" s="14"/>
      <c r="KW303" s="65"/>
      <c r="KX303" s="13"/>
      <c r="KY303" s="14"/>
      <c r="LA303" s="65"/>
      <c r="LB303" s="13"/>
      <c r="LC303" s="14"/>
      <c r="LE303" s="65"/>
      <c r="LF303" s="13"/>
      <c r="LG303" s="14"/>
      <c r="LI303" s="65"/>
      <c r="LJ303" s="13"/>
      <c r="LK303" s="14"/>
      <c r="LM303" s="65"/>
      <c r="LN303" s="13"/>
      <c r="LO303" s="14"/>
      <c r="LQ303" s="65"/>
      <c r="LR303" s="13"/>
      <c r="LS303" s="14"/>
      <c r="LU303" s="65"/>
      <c r="LV303" s="13"/>
      <c r="LW303" s="14"/>
      <c r="LY303" s="65"/>
      <c r="LZ303" s="13"/>
      <c r="MA303" s="14"/>
      <c r="MC303" s="65"/>
      <c r="MD303" s="13"/>
      <c r="ME303" s="14"/>
      <c r="MG303" s="65"/>
      <c r="MH303" s="13"/>
      <c r="MI303" s="14"/>
      <c r="MK303" s="65"/>
      <c r="ML303" s="13"/>
      <c r="MM303" s="14"/>
      <c r="MO303" s="65"/>
      <c r="MP303" s="13"/>
      <c r="MQ303" s="14"/>
      <c r="MS303" s="65"/>
      <c r="MT303" s="13"/>
      <c r="MU303" s="14"/>
    </row>
    <row r="304" spans="1:359" hidden="1" x14ac:dyDescent="0.25">
      <c r="A304" s="15">
        <f>+AH55+AL48+AP45+AT45+AX43+BB43+BF42+BJ38+BN38+BR31+BV22+BZ22+CD21+CH21+CL17+CP15+CT15+CX13+DB8</f>
        <v>25218049.85985259</v>
      </c>
      <c r="B304" s="20">
        <v>42998</v>
      </c>
      <c r="T304" s="15"/>
      <c r="U304" s="20"/>
      <c r="DY304" s="65"/>
      <c r="DZ304" s="13"/>
      <c r="EA304" s="14"/>
      <c r="EC304" s="65"/>
      <c r="ED304" s="13"/>
      <c r="EE304" s="14"/>
      <c r="EG304" s="65"/>
      <c r="EH304" s="13"/>
      <c r="EI304" s="14"/>
      <c r="EK304" s="65"/>
      <c r="EL304" s="13"/>
      <c r="EM304" s="14"/>
      <c r="EO304" s="65"/>
      <c r="EP304" s="13"/>
      <c r="EQ304" s="14"/>
      <c r="ES304" s="65"/>
      <c r="ET304" s="13"/>
      <c r="EU304" s="14"/>
      <c r="EW304" s="65"/>
      <c r="EX304" s="13"/>
      <c r="EY304" s="14"/>
      <c r="FA304" s="65"/>
      <c r="FB304" s="13"/>
      <c r="FC304" s="14"/>
      <c r="FE304" s="65"/>
      <c r="FF304" s="13"/>
      <c r="FG304" s="14"/>
      <c r="FI304" s="65"/>
      <c r="FJ304" s="13"/>
      <c r="FK304" s="14"/>
      <c r="FM304" s="65"/>
      <c r="FN304" s="13"/>
      <c r="FO304" s="14"/>
      <c r="FQ304" s="65"/>
      <c r="FR304" s="13"/>
      <c r="FS304" s="14"/>
      <c r="FU304" s="65"/>
      <c r="FV304" s="13"/>
      <c r="FW304" s="14"/>
      <c r="FY304" s="65"/>
      <c r="FZ304" s="13"/>
      <c r="GA304" s="14"/>
      <c r="GC304" s="65"/>
      <c r="GD304" s="13"/>
      <c r="GE304" s="14"/>
      <c r="GG304" s="65"/>
      <c r="GH304" s="13"/>
      <c r="GI304" s="14"/>
      <c r="GK304" s="65"/>
      <c r="GL304" s="13"/>
      <c r="GM304" s="14"/>
      <c r="GO304" s="65"/>
      <c r="GP304" s="13"/>
      <c r="GQ304" s="14"/>
      <c r="GS304" s="65"/>
      <c r="GT304" s="13"/>
      <c r="GU304" s="14"/>
      <c r="GW304" s="65"/>
      <c r="GX304" s="13"/>
      <c r="GY304" s="14"/>
      <c r="HA304" s="65"/>
      <c r="HB304" s="13"/>
      <c r="HC304" s="14"/>
      <c r="HE304" s="65"/>
      <c r="HF304" s="13"/>
      <c r="HG304" s="14"/>
      <c r="HI304" s="65"/>
      <c r="HJ304" s="13"/>
      <c r="HK304" s="14"/>
      <c r="HM304" s="65"/>
      <c r="HN304" s="13"/>
      <c r="HO304" s="14"/>
      <c r="HQ304" s="65"/>
      <c r="HR304" s="13"/>
      <c r="HS304" s="14"/>
      <c r="HU304" s="65"/>
      <c r="HV304" s="13"/>
      <c r="HW304" s="14"/>
      <c r="HY304" s="65"/>
      <c r="HZ304" s="13"/>
      <c r="IA304" s="14"/>
      <c r="IC304" s="65"/>
      <c r="ID304" s="13"/>
      <c r="IE304" s="14"/>
      <c r="IG304" s="65"/>
      <c r="IH304" s="13"/>
      <c r="II304" s="14"/>
      <c r="IK304" s="65"/>
      <c r="IL304" s="13"/>
      <c r="IM304" s="14"/>
      <c r="IO304" s="65"/>
      <c r="IP304" s="13"/>
      <c r="IQ304" s="14"/>
      <c r="IS304" s="65"/>
      <c r="IT304" s="13"/>
      <c r="IU304" s="14"/>
      <c r="IW304" s="65"/>
      <c r="IX304" s="13"/>
      <c r="IY304" s="14"/>
      <c r="JA304" s="65"/>
      <c r="JB304" s="13"/>
      <c r="JC304" s="14"/>
      <c r="JE304" s="65"/>
      <c r="JF304" s="13"/>
      <c r="JG304" s="14"/>
      <c r="JI304" s="65"/>
      <c r="JJ304" s="13"/>
      <c r="JK304" s="14"/>
      <c r="JM304" s="65"/>
      <c r="JN304" s="13"/>
      <c r="JO304" s="14"/>
      <c r="JQ304" s="65"/>
      <c r="JR304" s="13"/>
      <c r="JS304" s="14"/>
      <c r="JU304" s="65"/>
      <c r="JV304" s="13"/>
      <c r="JW304" s="14"/>
      <c r="JY304" s="65"/>
      <c r="JZ304" s="13"/>
      <c r="KA304" s="14"/>
      <c r="KC304" s="65"/>
      <c r="KD304" s="13"/>
      <c r="KE304" s="14"/>
      <c r="KG304" s="65"/>
      <c r="KH304" s="13"/>
      <c r="KI304" s="14"/>
      <c r="KK304" s="65"/>
      <c r="KL304" s="13"/>
      <c r="KM304" s="14"/>
      <c r="KO304" s="65"/>
      <c r="KP304" s="13"/>
      <c r="KQ304" s="14"/>
      <c r="KS304" s="65"/>
      <c r="KT304" s="13"/>
      <c r="KU304" s="14"/>
      <c r="KW304" s="65"/>
      <c r="KX304" s="13"/>
      <c r="KY304" s="14"/>
      <c r="LA304" s="65"/>
      <c r="LB304" s="13"/>
      <c r="LC304" s="14"/>
      <c r="LE304" s="65"/>
      <c r="LF304" s="13"/>
      <c r="LG304" s="14"/>
      <c r="LI304" s="65"/>
      <c r="LJ304" s="13"/>
      <c r="LK304" s="14"/>
      <c r="LM304" s="65"/>
      <c r="LN304" s="13"/>
      <c r="LO304" s="14"/>
      <c r="LQ304" s="65"/>
      <c r="LR304" s="13"/>
      <c r="LS304" s="14"/>
      <c r="LU304" s="65"/>
      <c r="LV304" s="13"/>
      <c r="LW304" s="14"/>
      <c r="LY304" s="65"/>
      <c r="LZ304" s="13"/>
      <c r="MA304" s="14"/>
      <c r="MC304" s="65"/>
      <c r="MD304" s="13"/>
      <c r="ME304" s="14"/>
      <c r="MG304" s="65"/>
      <c r="MH304" s="13"/>
      <c r="MI304" s="14"/>
      <c r="MK304" s="65"/>
      <c r="ML304" s="13"/>
      <c r="MM304" s="14"/>
      <c r="MO304" s="65"/>
      <c r="MP304" s="13"/>
      <c r="MQ304" s="14"/>
      <c r="MS304" s="65"/>
      <c r="MT304" s="13"/>
      <c r="MU304" s="14"/>
    </row>
    <row r="305" spans="1:359" hidden="1" x14ac:dyDescent="0.25">
      <c r="A305" s="15">
        <f>+AH56+AL49+AP46+AT46+AX44+BB44+BF43+BJ39+BN39+BR32+BV23+BZ23+CD22+CH22+CL18+CP16+CT16+CX14+DB9+DF8+DJ8</f>
        <v>25399515.922212839</v>
      </c>
      <c r="B305" s="20">
        <v>42999</v>
      </c>
      <c r="T305" s="15"/>
      <c r="U305" s="20"/>
      <c r="DY305" s="65"/>
      <c r="DZ305" s="13"/>
      <c r="EA305" s="14"/>
      <c r="EC305" s="65"/>
      <c r="ED305" s="13"/>
      <c r="EE305" s="14"/>
      <c r="EG305" s="65"/>
      <c r="EH305" s="13"/>
      <c r="EI305" s="14"/>
      <c r="EK305" s="65"/>
      <c r="EL305" s="13"/>
      <c r="EM305" s="14"/>
      <c r="EO305" s="65"/>
      <c r="EP305" s="13"/>
      <c r="EQ305" s="14"/>
      <c r="ES305" s="65"/>
      <c r="ET305" s="13"/>
      <c r="EU305" s="14"/>
      <c r="EW305" s="65"/>
      <c r="EX305" s="13"/>
      <c r="EY305" s="14"/>
      <c r="FA305" s="65"/>
      <c r="FB305" s="13"/>
      <c r="FC305" s="14"/>
      <c r="FE305" s="65"/>
      <c r="FF305" s="13"/>
      <c r="FG305" s="14"/>
      <c r="FI305" s="65"/>
      <c r="FJ305" s="13"/>
      <c r="FK305" s="14"/>
      <c r="FM305" s="65"/>
      <c r="FN305" s="13"/>
      <c r="FO305" s="14"/>
      <c r="FQ305" s="65"/>
      <c r="FR305" s="13"/>
      <c r="FS305" s="14"/>
      <c r="FU305" s="65"/>
      <c r="FV305" s="13"/>
      <c r="FW305" s="14"/>
      <c r="FY305" s="65"/>
      <c r="FZ305" s="13"/>
      <c r="GA305" s="14"/>
      <c r="GC305" s="65"/>
      <c r="GD305" s="13"/>
      <c r="GE305" s="14"/>
      <c r="GG305" s="65"/>
      <c r="GH305" s="13"/>
      <c r="GI305" s="14"/>
      <c r="GK305" s="65"/>
      <c r="GL305" s="13"/>
      <c r="GM305" s="14"/>
      <c r="GO305" s="65"/>
      <c r="GP305" s="13"/>
      <c r="GQ305" s="14"/>
      <c r="GS305" s="65"/>
      <c r="GT305" s="13"/>
      <c r="GU305" s="14"/>
      <c r="GW305" s="65"/>
      <c r="GX305" s="13"/>
      <c r="GY305" s="14"/>
      <c r="HA305" s="65"/>
      <c r="HB305" s="13"/>
      <c r="HC305" s="14"/>
      <c r="HE305" s="65"/>
      <c r="HF305" s="13"/>
      <c r="HG305" s="14"/>
      <c r="HI305" s="65"/>
      <c r="HJ305" s="13"/>
      <c r="HK305" s="14"/>
      <c r="HM305" s="65"/>
      <c r="HN305" s="13"/>
      <c r="HO305" s="14"/>
      <c r="HQ305" s="65"/>
      <c r="HR305" s="13"/>
      <c r="HS305" s="14"/>
      <c r="HU305" s="65"/>
      <c r="HV305" s="13"/>
      <c r="HW305" s="14"/>
      <c r="HY305" s="65"/>
      <c r="HZ305" s="13"/>
      <c r="IA305" s="14"/>
      <c r="IC305" s="65"/>
      <c r="ID305" s="13"/>
      <c r="IE305" s="14"/>
      <c r="IG305" s="65"/>
      <c r="IH305" s="13"/>
      <c r="II305" s="14"/>
      <c r="IK305" s="65"/>
      <c r="IL305" s="13"/>
      <c r="IM305" s="14"/>
      <c r="IO305" s="65"/>
      <c r="IP305" s="13"/>
      <c r="IQ305" s="14"/>
      <c r="IS305" s="65"/>
      <c r="IT305" s="13"/>
      <c r="IU305" s="14"/>
      <c r="IW305" s="65"/>
      <c r="IX305" s="13"/>
      <c r="IY305" s="14"/>
      <c r="JA305" s="65"/>
      <c r="JB305" s="13"/>
      <c r="JC305" s="14"/>
      <c r="JE305" s="65"/>
      <c r="JF305" s="13"/>
      <c r="JG305" s="14"/>
      <c r="JI305" s="65"/>
      <c r="JJ305" s="13"/>
      <c r="JK305" s="14"/>
      <c r="JM305" s="65"/>
      <c r="JN305" s="13"/>
      <c r="JO305" s="14"/>
      <c r="JQ305" s="65"/>
      <c r="JR305" s="13"/>
      <c r="JS305" s="14"/>
      <c r="JU305" s="65"/>
      <c r="JV305" s="13"/>
      <c r="JW305" s="14"/>
      <c r="JY305" s="65"/>
      <c r="JZ305" s="13"/>
      <c r="KA305" s="14"/>
      <c r="KC305" s="65"/>
      <c r="KD305" s="13"/>
      <c r="KE305" s="14"/>
      <c r="KG305" s="65"/>
      <c r="KH305" s="13"/>
      <c r="KI305" s="14"/>
      <c r="KK305" s="65"/>
      <c r="KL305" s="13"/>
      <c r="KM305" s="14"/>
      <c r="KO305" s="65"/>
      <c r="KP305" s="13"/>
      <c r="KQ305" s="14"/>
      <c r="KS305" s="65"/>
      <c r="KT305" s="13"/>
      <c r="KU305" s="14"/>
      <c r="KW305" s="65"/>
      <c r="KX305" s="13"/>
      <c r="KY305" s="14"/>
      <c r="LA305" s="65"/>
      <c r="LB305" s="13"/>
      <c r="LC305" s="14"/>
      <c r="LE305" s="65"/>
      <c r="LF305" s="13"/>
      <c r="LG305" s="14"/>
      <c r="LI305" s="65"/>
      <c r="LJ305" s="13"/>
      <c r="LK305" s="14"/>
      <c r="LM305" s="65"/>
      <c r="LN305" s="13"/>
      <c r="LO305" s="14"/>
      <c r="LQ305" s="65"/>
      <c r="LR305" s="13"/>
      <c r="LS305" s="14"/>
      <c r="LU305" s="65"/>
      <c r="LV305" s="13"/>
      <c r="LW305" s="14"/>
      <c r="LY305" s="65"/>
      <c r="LZ305" s="13"/>
      <c r="MA305" s="14"/>
      <c r="MC305" s="65"/>
      <c r="MD305" s="13"/>
      <c r="ME305" s="14"/>
      <c r="MG305" s="65"/>
      <c r="MH305" s="13"/>
      <c r="MI305" s="14"/>
      <c r="MK305" s="65"/>
      <c r="ML305" s="13"/>
      <c r="MM305" s="14"/>
      <c r="MO305" s="65"/>
      <c r="MP305" s="13"/>
      <c r="MQ305" s="14"/>
      <c r="MS305" s="65"/>
      <c r="MT305" s="13"/>
      <c r="MU305" s="14"/>
    </row>
    <row r="306" spans="1:359" hidden="1" x14ac:dyDescent="0.25">
      <c r="A306" s="15">
        <f>+AH57+AL50+AP47+AT47+AX45+BB45+BF44+BJ40+BN40+BR33+BV24+BZ24+CD23+CH23+CL19+CP17+CT17+CX15+DB10+DF9+DJ9</f>
        <v>25400767.273761474</v>
      </c>
      <c r="B306" s="20">
        <v>43000</v>
      </c>
      <c r="T306" s="15"/>
      <c r="U306" s="20"/>
      <c r="DY306" s="65"/>
      <c r="DZ306" s="13"/>
      <c r="EA306" s="14"/>
      <c r="EC306" s="65"/>
      <c r="ED306" s="13"/>
      <c r="EE306" s="14"/>
      <c r="EG306" s="65"/>
      <c r="EH306" s="13"/>
      <c r="EI306" s="14"/>
      <c r="EK306" s="65"/>
      <c r="EL306" s="13"/>
      <c r="EM306" s="14"/>
      <c r="EO306" s="65"/>
      <c r="EP306" s="13"/>
      <c r="EQ306" s="14"/>
      <c r="ES306" s="65"/>
      <c r="ET306" s="13"/>
      <c r="EU306" s="14"/>
      <c r="EW306" s="65"/>
      <c r="EX306" s="13"/>
      <c r="EY306" s="14"/>
      <c r="FA306" s="65"/>
      <c r="FB306" s="13"/>
      <c r="FC306" s="14"/>
      <c r="FE306" s="65"/>
      <c r="FF306" s="13"/>
      <c r="FG306" s="14"/>
      <c r="FI306" s="65"/>
      <c r="FJ306" s="13"/>
      <c r="FK306" s="14"/>
      <c r="FM306" s="65"/>
      <c r="FN306" s="13"/>
      <c r="FO306" s="14"/>
      <c r="FQ306" s="65"/>
      <c r="FR306" s="13"/>
      <c r="FS306" s="14"/>
      <c r="FU306" s="65"/>
      <c r="FV306" s="13"/>
      <c r="FW306" s="14"/>
      <c r="FY306" s="65"/>
      <c r="FZ306" s="13"/>
      <c r="GA306" s="14"/>
      <c r="GC306" s="65"/>
      <c r="GD306" s="13"/>
      <c r="GE306" s="14"/>
      <c r="GG306" s="65"/>
      <c r="GH306" s="13"/>
      <c r="GI306" s="14"/>
      <c r="GK306" s="65"/>
      <c r="GL306" s="13"/>
      <c r="GM306" s="14"/>
      <c r="GO306" s="65"/>
      <c r="GP306" s="13"/>
      <c r="GQ306" s="14"/>
      <c r="GS306" s="65"/>
      <c r="GT306" s="13"/>
      <c r="GU306" s="14"/>
      <c r="GW306" s="65"/>
      <c r="GX306" s="13"/>
      <c r="GY306" s="14"/>
      <c r="HA306" s="65"/>
      <c r="HB306" s="13"/>
      <c r="HC306" s="14"/>
      <c r="HE306" s="65"/>
      <c r="HF306" s="13"/>
      <c r="HG306" s="14"/>
      <c r="HI306" s="65"/>
      <c r="HJ306" s="13"/>
      <c r="HK306" s="14"/>
      <c r="HM306" s="65"/>
      <c r="HN306" s="13"/>
      <c r="HO306" s="14"/>
      <c r="HQ306" s="65"/>
      <c r="HR306" s="13"/>
      <c r="HS306" s="14"/>
      <c r="HU306" s="65"/>
      <c r="HV306" s="13"/>
      <c r="HW306" s="14"/>
      <c r="HY306" s="65"/>
      <c r="HZ306" s="13"/>
      <c r="IA306" s="14"/>
      <c r="IC306" s="65"/>
      <c r="ID306" s="13"/>
      <c r="IE306" s="14"/>
      <c r="IG306" s="65"/>
      <c r="IH306" s="13"/>
      <c r="II306" s="14"/>
      <c r="IK306" s="65"/>
      <c r="IL306" s="13"/>
      <c r="IM306" s="14"/>
      <c r="IO306" s="65"/>
      <c r="IP306" s="13"/>
      <c r="IQ306" s="14"/>
      <c r="IS306" s="65"/>
      <c r="IT306" s="13"/>
      <c r="IU306" s="14"/>
      <c r="IW306" s="65"/>
      <c r="IX306" s="13"/>
      <c r="IY306" s="14"/>
      <c r="JA306" s="65"/>
      <c r="JB306" s="13"/>
      <c r="JC306" s="14"/>
      <c r="JE306" s="65"/>
      <c r="JF306" s="13"/>
      <c r="JG306" s="14"/>
      <c r="JI306" s="65"/>
      <c r="JJ306" s="13"/>
      <c r="JK306" s="14"/>
      <c r="JM306" s="65"/>
      <c r="JN306" s="13"/>
      <c r="JO306" s="14"/>
      <c r="JQ306" s="65"/>
      <c r="JR306" s="13"/>
      <c r="JS306" s="14"/>
      <c r="JU306" s="65"/>
      <c r="JV306" s="13"/>
      <c r="JW306" s="14"/>
      <c r="JY306" s="65"/>
      <c r="JZ306" s="13"/>
      <c r="KA306" s="14"/>
      <c r="KC306" s="65"/>
      <c r="KD306" s="13"/>
      <c r="KE306" s="14"/>
      <c r="KG306" s="65"/>
      <c r="KH306" s="13"/>
      <c r="KI306" s="14"/>
      <c r="KK306" s="65"/>
      <c r="KL306" s="13"/>
      <c r="KM306" s="14"/>
      <c r="KO306" s="65"/>
      <c r="KP306" s="13"/>
      <c r="KQ306" s="14"/>
      <c r="KS306" s="65"/>
      <c r="KT306" s="13"/>
      <c r="KU306" s="14"/>
      <c r="KW306" s="65"/>
      <c r="KX306" s="13"/>
      <c r="KY306" s="14"/>
      <c r="LA306" s="65"/>
      <c r="LB306" s="13"/>
      <c r="LC306" s="14"/>
      <c r="LE306" s="65"/>
      <c r="LF306" s="13"/>
      <c r="LG306" s="14"/>
      <c r="LI306" s="65"/>
      <c r="LJ306" s="13"/>
      <c r="LK306" s="14"/>
      <c r="LM306" s="65"/>
      <c r="LN306" s="13"/>
      <c r="LO306" s="14"/>
      <c r="LQ306" s="65"/>
      <c r="LR306" s="13"/>
      <c r="LS306" s="14"/>
      <c r="LU306" s="65"/>
      <c r="LV306" s="13"/>
      <c r="LW306" s="14"/>
      <c r="LY306" s="65"/>
      <c r="LZ306" s="13"/>
      <c r="MA306" s="14"/>
      <c r="MC306" s="65"/>
      <c r="MD306" s="13"/>
      <c r="ME306" s="14"/>
      <c r="MG306" s="65"/>
      <c r="MH306" s="13"/>
      <c r="MI306" s="14"/>
      <c r="MK306" s="65"/>
      <c r="ML306" s="13"/>
      <c r="MM306" s="14"/>
      <c r="MO306" s="65"/>
      <c r="MP306" s="13"/>
      <c r="MQ306" s="14"/>
      <c r="MS306" s="65"/>
      <c r="MT306" s="13"/>
      <c r="MU306" s="14"/>
    </row>
    <row r="307" spans="1:359" hidden="1" x14ac:dyDescent="0.25">
      <c r="A307" s="15">
        <f t="shared" ref="A307:A311" si="203">+AH58+AL51+AP48+AT48+AX46+BB46+BF45+BJ41+BN41+BR34+BV25+BZ25+CD24+CH24+CL20+CP18+CT18+CX16+DB11+DF10+DJ10</f>
        <v>25402018.753754802</v>
      </c>
      <c r="B307" s="20">
        <v>43001</v>
      </c>
      <c r="T307" s="15"/>
      <c r="U307" s="20"/>
      <c r="DY307" s="65"/>
      <c r="DZ307" s="13"/>
      <c r="EA307" s="14"/>
      <c r="EC307" s="65"/>
      <c r="ED307" s="13"/>
      <c r="EE307" s="14"/>
      <c r="EG307" s="65"/>
      <c r="EH307" s="13"/>
      <c r="EI307" s="14"/>
      <c r="EK307" s="65"/>
      <c r="EL307" s="13"/>
      <c r="EM307" s="14"/>
      <c r="EO307" s="65"/>
      <c r="EP307" s="13"/>
      <c r="EQ307" s="14"/>
      <c r="ES307" s="65"/>
      <c r="ET307" s="13"/>
      <c r="EU307" s="14"/>
      <c r="EW307" s="65"/>
      <c r="EX307" s="13"/>
      <c r="EY307" s="14"/>
      <c r="FA307" s="65"/>
      <c r="FB307" s="13"/>
      <c r="FC307" s="14"/>
      <c r="FE307" s="65"/>
      <c r="FF307" s="13"/>
      <c r="FG307" s="14"/>
      <c r="FI307" s="65"/>
      <c r="FJ307" s="13"/>
      <c r="FK307" s="14"/>
      <c r="FM307" s="65"/>
      <c r="FN307" s="13"/>
      <c r="FO307" s="14"/>
      <c r="FQ307" s="65"/>
      <c r="FR307" s="13"/>
      <c r="FS307" s="14"/>
      <c r="FU307" s="65"/>
      <c r="FV307" s="13"/>
      <c r="FW307" s="14"/>
      <c r="FY307" s="65"/>
      <c r="FZ307" s="13"/>
      <c r="GA307" s="14"/>
      <c r="GC307" s="65"/>
      <c r="GD307" s="13"/>
      <c r="GE307" s="14"/>
      <c r="GG307" s="65"/>
      <c r="GH307" s="13"/>
      <c r="GI307" s="14"/>
      <c r="GK307" s="65"/>
      <c r="GL307" s="13"/>
      <c r="GM307" s="14"/>
      <c r="GO307" s="65"/>
      <c r="GP307" s="13"/>
      <c r="GQ307" s="14"/>
      <c r="GS307" s="65"/>
      <c r="GT307" s="13"/>
      <c r="GU307" s="14"/>
      <c r="GW307" s="65"/>
      <c r="GX307" s="13"/>
      <c r="GY307" s="14"/>
      <c r="HA307" s="65"/>
      <c r="HB307" s="13"/>
      <c r="HC307" s="14"/>
      <c r="HE307" s="65"/>
      <c r="HF307" s="13"/>
      <c r="HG307" s="14"/>
      <c r="HI307" s="65"/>
      <c r="HJ307" s="13"/>
      <c r="HK307" s="14"/>
      <c r="HM307" s="65"/>
      <c r="HN307" s="13"/>
      <c r="HO307" s="14"/>
      <c r="HQ307" s="65"/>
      <c r="HR307" s="13"/>
      <c r="HS307" s="14"/>
      <c r="HU307" s="65"/>
      <c r="HV307" s="13"/>
      <c r="HW307" s="14"/>
      <c r="HY307" s="65"/>
      <c r="HZ307" s="13"/>
      <c r="IA307" s="14"/>
      <c r="IC307" s="65"/>
      <c r="ID307" s="13"/>
      <c r="IE307" s="14"/>
      <c r="IG307" s="65"/>
      <c r="IH307" s="13"/>
      <c r="II307" s="14"/>
      <c r="IK307" s="65"/>
      <c r="IL307" s="13"/>
      <c r="IM307" s="14"/>
      <c r="IO307" s="65"/>
      <c r="IP307" s="13"/>
      <c r="IQ307" s="14"/>
      <c r="IS307" s="65"/>
      <c r="IT307" s="13"/>
      <c r="IU307" s="14"/>
      <c r="IW307" s="65"/>
      <c r="IX307" s="13"/>
      <c r="IY307" s="14"/>
      <c r="JA307" s="65"/>
      <c r="JB307" s="13"/>
      <c r="JC307" s="14"/>
      <c r="JE307" s="65"/>
      <c r="JF307" s="13"/>
      <c r="JG307" s="14"/>
      <c r="JI307" s="65"/>
      <c r="JJ307" s="13"/>
      <c r="JK307" s="14"/>
      <c r="JM307" s="65"/>
      <c r="JN307" s="13"/>
      <c r="JO307" s="14"/>
      <c r="JQ307" s="65"/>
      <c r="JR307" s="13"/>
      <c r="JS307" s="14"/>
      <c r="JU307" s="65"/>
      <c r="JV307" s="13"/>
      <c r="JW307" s="14"/>
      <c r="JY307" s="65"/>
      <c r="JZ307" s="13"/>
      <c r="KA307" s="14"/>
      <c r="KC307" s="65"/>
      <c r="KD307" s="13"/>
      <c r="KE307" s="14"/>
      <c r="KG307" s="65"/>
      <c r="KH307" s="13"/>
      <c r="KI307" s="14"/>
      <c r="KK307" s="65"/>
      <c r="KL307" s="13"/>
      <c r="KM307" s="14"/>
      <c r="KO307" s="65"/>
      <c r="KP307" s="13"/>
      <c r="KQ307" s="14"/>
      <c r="KS307" s="65"/>
      <c r="KT307" s="13"/>
      <c r="KU307" s="14"/>
      <c r="KW307" s="65"/>
      <c r="KX307" s="13"/>
      <c r="KY307" s="14"/>
      <c r="LA307" s="65"/>
      <c r="LB307" s="13"/>
      <c r="LC307" s="14"/>
      <c r="LE307" s="65"/>
      <c r="LF307" s="13"/>
      <c r="LG307" s="14"/>
      <c r="LI307" s="65"/>
      <c r="LJ307" s="13"/>
      <c r="LK307" s="14"/>
      <c r="LM307" s="65"/>
      <c r="LN307" s="13"/>
      <c r="LO307" s="14"/>
      <c r="LQ307" s="65"/>
      <c r="LR307" s="13"/>
      <c r="LS307" s="14"/>
      <c r="LU307" s="65"/>
      <c r="LV307" s="13"/>
      <c r="LW307" s="14"/>
      <c r="LY307" s="65"/>
      <c r="LZ307" s="13"/>
      <c r="MA307" s="14"/>
      <c r="MC307" s="65"/>
      <c r="MD307" s="13"/>
      <c r="ME307" s="14"/>
      <c r="MG307" s="65"/>
      <c r="MH307" s="13"/>
      <c r="MI307" s="14"/>
      <c r="MK307" s="65"/>
      <c r="ML307" s="13"/>
      <c r="MM307" s="14"/>
      <c r="MO307" s="65"/>
      <c r="MP307" s="13"/>
      <c r="MQ307" s="14"/>
      <c r="MS307" s="65"/>
      <c r="MT307" s="13"/>
      <c r="MU307" s="14"/>
    </row>
    <row r="308" spans="1:359" hidden="1" x14ac:dyDescent="0.25">
      <c r="A308" s="15">
        <f t="shared" si="203"/>
        <v>25403270.36221353</v>
      </c>
      <c r="B308" s="20">
        <v>43002</v>
      </c>
      <c r="T308" s="15"/>
      <c r="U308" s="20"/>
      <c r="DY308" s="65"/>
      <c r="DZ308" s="13"/>
      <c r="EA308" s="14"/>
      <c r="EC308" s="65"/>
      <c r="ED308" s="13"/>
      <c r="EE308" s="14"/>
      <c r="EG308" s="65"/>
      <c r="EH308" s="13"/>
      <c r="EI308" s="14"/>
      <c r="EK308" s="65"/>
      <c r="EL308" s="13"/>
      <c r="EM308" s="14"/>
      <c r="EO308" s="65"/>
      <c r="EP308" s="13"/>
      <c r="EQ308" s="14"/>
      <c r="ES308" s="65"/>
      <c r="ET308" s="13"/>
      <c r="EU308" s="14"/>
      <c r="EW308" s="65"/>
      <c r="EX308" s="13"/>
      <c r="EY308" s="14"/>
      <c r="FA308" s="65"/>
      <c r="FB308" s="13"/>
      <c r="FC308" s="14"/>
      <c r="FE308" s="65"/>
      <c r="FF308" s="13"/>
      <c r="FG308" s="14"/>
      <c r="FI308" s="65"/>
      <c r="FJ308" s="13"/>
      <c r="FK308" s="14"/>
      <c r="FM308" s="65"/>
      <c r="FN308" s="13"/>
      <c r="FO308" s="14"/>
      <c r="FQ308" s="65"/>
      <c r="FR308" s="13"/>
      <c r="FS308" s="14"/>
      <c r="FU308" s="65"/>
      <c r="FV308" s="13"/>
      <c r="FW308" s="14"/>
      <c r="FY308" s="65"/>
      <c r="FZ308" s="13"/>
      <c r="GA308" s="14"/>
      <c r="GC308" s="65"/>
      <c r="GD308" s="13"/>
      <c r="GE308" s="14"/>
      <c r="GG308" s="65"/>
      <c r="GH308" s="13"/>
      <c r="GI308" s="14"/>
      <c r="GK308" s="65"/>
      <c r="GL308" s="13"/>
      <c r="GM308" s="14"/>
      <c r="GO308" s="65"/>
      <c r="GP308" s="13"/>
      <c r="GQ308" s="14"/>
      <c r="GS308" s="65"/>
      <c r="GT308" s="13"/>
      <c r="GU308" s="14"/>
      <c r="GW308" s="65"/>
      <c r="GX308" s="13"/>
      <c r="GY308" s="14"/>
      <c r="HA308" s="65"/>
      <c r="HB308" s="13"/>
      <c r="HC308" s="14"/>
      <c r="HE308" s="65"/>
      <c r="HF308" s="13"/>
      <c r="HG308" s="14"/>
      <c r="HI308" s="65"/>
      <c r="HJ308" s="13"/>
      <c r="HK308" s="14"/>
      <c r="HM308" s="65"/>
      <c r="HN308" s="13"/>
      <c r="HO308" s="14"/>
      <c r="HQ308" s="65"/>
      <c r="HR308" s="13"/>
      <c r="HS308" s="14"/>
      <c r="HU308" s="65"/>
      <c r="HV308" s="13"/>
      <c r="HW308" s="14"/>
      <c r="HY308" s="65"/>
      <c r="HZ308" s="13"/>
      <c r="IA308" s="14"/>
      <c r="IC308" s="65"/>
      <c r="ID308" s="13"/>
      <c r="IE308" s="14"/>
      <c r="IG308" s="65"/>
      <c r="IH308" s="13"/>
      <c r="II308" s="14"/>
      <c r="IK308" s="65"/>
      <c r="IL308" s="13"/>
      <c r="IM308" s="14"/>
      <c r="IO308" s="65"/>
      <c r="IP308" s="13"/>
      <c r="IQ308" s="14"/>
      <c r="IS308" s="65"/>
      <c r="IT308" s="13"/>
      <c r="IU308" s="14"/>
      <c r="IW308" s="65"/>
      <c r="IX308" s="13"/>
      <c r="IY308" s="14"/>
      <c r="JA308" s="65"/>
      <c r="JB308" s="13"/>
      <c r="JC308" s="14"/>
      <c r="JE308" s="65"/>
      <c r="JF308" s="13"/>
      <c r="JG308" s="14"/>
      <c r="JI308" s="65"/>
      <c r="JJ308" s="13"/>
      <c r="JK308" s="14"/>
      <c r="JM308" s="65"/>
      <c r="JN308" s="13"/>
      <c r="JO308" s="14"/>
      <c r="JQ308" s="65"/>
      <c r="JR308" s="13"/>
      <c r="JS308" s="14"/>
      <c r="JU308" s="65"/>
      <c r="JV308" s="13"/>
      <c r="JW308" s="14"/>
      <c r="JY308" s="65"/>
      <c r="JZ308" s="13"/>
      <c r="KA308" s="14"/>
      <c r="KC308" s="65"/>
      <c r="KD308" s="13"/>
      <c r="KE308" s="14"/>
      <c r="KG308" s="65"/>
      <c r="KH308" s="13"/>
      <c r="KI308" s="14"/>
      <c r="KK308" s="65"/>
      <c r="KL308" s="13"/>
      <c r="KM308" s="14"/>
      <c r="KO308" s="65"/>
      <c r="KP308" s="13"/>
      <c r="KQ308" s="14"/>
      <c r="KS308" s="65"/>
      <c r="KT308" s="13"/>
      <c r="KU308" s="14"/>
      <c r="KW308" s="65"/>
      <c r="KX308" s="13"/>
      <c r="KY308" s="14"/>
      <c r="LA308" s="65"/>
      <c r="LB308" s="13"/>
      <c r="LC308" s="14"/>
      <c r="LE308" s="65"/>
      <c r="LF308" s="13"/>
      <c r="LG308" s="14"/>
      <c r="LI308" s="65"/>
      <c r="LJ308" s="13"/>
      <c r="LK308" s="14"/>
      <c r="LM308" s="65"/>
      <c r="LN308" s="13"/>
      <c r="LO308" s="14"/>
      <c r="LQ308" s="65"/>
      <c r="LR308" s="13"/>
      <c r="LS308" s="14"/>
      <c r="LU308" s="65"/>
      <c r="LV308" s="13"/>
      <c r="LW308" s="14"/>
      <c r="LY308" s="65"/>
      <c r="LZ308" s="13"/>
      <c r="MA308" s="14"/>
      <c r="MC308" s="65"/>
      <c r="MD308" s="13"/>
      <c r="ME308" s="14"/>
      <c r="MG308" s="65"/>
      <c r="MH308" s="13"/>
      <c r="MI308" s="14"/>
      <c r="MK308" s="65"/>
      <c r="ML308" s="13"/>
      <c r="MM308" s="14"/>
      <c r="MO308" s="65"/>
      <c r="MP308" s="13"/>
      <c r="MQ308" s="14"/>
      <c r="MS308" s="65"/>
      <c r="MT308" s="13"/>
      <c r="MU308" s="14"/>
    </row>
    <row r="309" spans="1:359" hidden="1" x14ac:dyDescent="0.25">
      <c r="A309" s="15">
        <f>+AH60+AL53+AP50+AT50+AX48+BB48+BF47+BJ43+BN43+BR36+BV27+BZ27+CD26+CH26+CL22+CP20+CT20+CX18+DB13+DF12+DJ12</f>
        <v>25404522.099158332</v>
      </c>
      <c r="B309" s="20">
        <v>43003</v>
      </c>
      <c r="T309" s="15"/>
      <c r="U309" s="20"/>
      <c r="DY309" s="65"/>
      <c r="DZ309" s="13"/>
      <c r="EA309" s="14"/>
      <c r="EC309" s="65"/>
      <c r="ED309" s="13"/>
      <c r="EE309" s="14"/>
      <c r="EG309" s="65"/>
      <c r="EH309" s="13"/>
      <c r="EI309" s="14"/>
      <c r="EK309" s="65"/>
      <c r="EL309" s="13"/>
      <c r="EM309" s="14"/>
      <c r="EO309" s="65"/>
      <c r="EP309" s="13"/>
      <c r="EQ309" s="14"/>
      <c r="ES309" s="65"/>
      <c r="ET309" s="13"/>
      <c r="EU309" s="14"/>
      <c r="EW309" s="65"/>
      <c r="EX309" s="13"/>
      <c r="EY309" s="14"/>
      <c r="FA309" s="65"/>
      <c r="FB309" s="13"/>
      <c r="FC309" s="14"/>
      <c r="FE309" s="65"/>
      <c r="FF309" s="13"/>
      <c r="FG309" s="14"/>
      <c r="FI309" s="65"/>
      <c r="FJ309" s="13"/>
      <c r="FK309" s="14"/>
      <c r="FM309" s="65"/>
      <c r="FN309" s="13"/>
      <c r="FO309" s="14"/>
      <c r="FQ309" s="65"/>
      <c r="FR309" s="13"/>
      <c r="FS309" s="14"/>
      <c r="FU309" s="65"/>
      <c r="FV309" s="13"/>
      <c r="FW309" s="14"/>
      <c r="FY309" s="65"/>
      <c r="FZ309" s="13"/>
      <c r="GA309" s="14"/>
      <c r="GC309" s="65"/>
      <c r="GD309" s="13"/>
      <c r="GE309" s="14"/>
      <c r="GG309" s="65"/>
      <c r="GH309" s="13"/>
      <c r="GI309" s="14"/>
      <c r="GK309" s="65"/>
      <c r="GL309" s="13"/>
      <c r="GM309" s="14"/>
      <c r="GO309" s="65"/>
      <c r="GP309" s="13"/>
      <c r="GQ309" s="14"/>
      <c r="GS309" s="65"/>
      <c r="GT309" s="13"/>
      <c r="GU309" s="14"/>
      <c r="GW309" s="65"/>
      <c r="GX309" s="13"/>
      <c r="GY309" s="14"/>
      <c r="HA309" s="65"/>
      <c r="HB309" s="13"/>
      <c r="HC309" s="14"/>
      <c r="HE309" s="65"/>
      <c r="HF309" s="13"/>
      <c r="HG309" s="14"/>
      <c r="HI309" s="65"/>
      <c r="HJ309" s="13"/>
      <c r="HK309" s="14"/>
      <c r="HM309" s="65"/>
      <c r="HN309" s="13"/>
      <c r="HO309" s="14"/>
      <c r="HQ309" s="65"/>
      <c r="HR309" s="13"/>
      <c r="HS309" s="14"/>
      <c r="HU309" s="65"/>
      <c r="HV309" s="13"/>
      <c r="HW309" s="14"/>
      <c r="HY309" s="65"/>
      <c r="HZ309" s="13"/>
      <c r="IA309" s="14"/>
      <c r="IC309" s="65"/>
      <c r="ID309" s="13"/>
      <c r="IE309" s="14"/>
      <c r="IG309" s="65"/>
      <c r="IH309" s="13"/>
      <c r="II309" s="14"/>
      <c r="IK309" s="65"/>
      <c r="IL309" s="13"/>
      <c r="IM309" s="14"/>
      <c r="IO309" s="65"/>
      <c r="IP309" s="13"/>
      <c r="IQ309" s="14"/>
      <c r="IS309" s="65"/>
      <c r="IT309" s="13"/>
      <c r="IU309" s="14"/>
      <c r="IW309" s="65"/>
      <c r="IX309" s="13"/>
      <c r="IY309" s="14"/>
      <c r="JA309" s="65"/>
      <c r="JB309" s="13"/>
      <c r="JC309" s="14"/>
      <c r="JE309" s="65"/>
      <c r="JF309" s="13"/>
      <c r="JG309" s="14"/>
      <c r="JI309" s="65"/>
      <c r="JJ309" s="13"/>
      <c r="JK309" s="14"/>
      <c r="JM309" s="65"/>
      <c r="JN309" s="13"/>
      <c r="JO309" s="14"/>
      <c r="JQ309" s="65"/>
      <c r="JR309" s="13"/>
      <c r="JS309" s="14"/>
      <c r="JU309" s="65"/>
      <c r="JV309" s="13"/>
      <c r="JW309" s="14"/>
      <c r="JY309" s="65"/>
      <c r="JZ309" s="13"/>
      <c r="KA309" s="14"/>
      <c r="KC309" s="65"/>
      <c r="KD309" s="13"/>
      <c r="KE309" s="14"/>
      <c r="KG309" s="65"/>
      <c r="KH309" s="13"/>
      <c r="KI309" s="14"/>
      <c r="KK309" s="65"/>
      <c r="KL309" s="13"/>
      <c r="KM309" s="14"/>
      <c r="KO309" s="65"/>
      <c r="KP309" s="13"/>
      <c r="KQ309" s="14"/>
      <c r="KS309" s="65"/>
      <c r="KT309" s="13"/>
      <c r="KU309" s="14"/>
      <c r="KW309" s="65"/>
      <c r="KX309" s="13"/>
      <c r="KY309" s="14"/>
      <c r="LA309" s="65"/>
      <c r="LB309" s="13"/>
      <c r="LC309" s="14"/>
      <c r="LE309" s="65"/>
      <c r="LF309" s="13"/>
      <c r="LG309" s="14"/>
      <c r="LI309" s="65"/>
      <c r="LJ309" s="13"/>
      <c r="LK309" s="14"/>
      <c r="LM309" s="65"/>
      <c r="LN309" s="13"/>
      <c r="LO309" s="14"/>
      <c r="LQ309" s="65"/>
      <c r="LR309" s="13"/>
      <c r="LS309" s="14"/>
      <c r="LU309" s="65"/>
      <c r="LV309" s="13"/>
      <c r="LW309" s="14"/>
      <c r="LY309" s="65"/>
      <c r="LZ309" s="13"/>
      <c r="MA309" s="14"/>
      <c r="MC309" s="65"/>
      <c r="MD309" s="13"/>
      <c r="ME309" s="14"/>
      <c r="MG309" s="65"/>
      <c r="MH309" s="13"/>
      <c r="MI309" s="14"/>
      <c r="MK309" s="65"/>
      <c r="ML309" s="13"/>
      <c r="MM309" s="14"/>
      <c r="MO309" s="65"/>
      <c r="MP309" s="13"/>
      <c r="MQ309" s="14"/>
      <c r="MS309" s="65"/>
      <c r="MT309" s="13"/>
      <c r="MU309" s="14"/>
    </row>
    <row r="310" spans="1:359" hidden="1" x14ac:dyDescent="0.25">
      <c r="A310" s="15">
        <f t="shared" si="203"/>
        <v>25405773.964609914</v>
      </c>
      <c r="B310" s="20">
        <v>43004</v>
      </c>
      <c r="T310" s="15"/>
      <c r="U310" s="20"/>
      <c r="DY310" s="65"/>
      <c r="DZ310" s="13"/>
      <c r="EA310" s="14"/>
      <c r="EC310" s="65"/>
      <c r="ED310" s="13"/>
      <c r="EE310" s="14"/>
      <c r="EG310" s="65"/>
      <c r="EH310" s="13"/>
      <c r="EI310" s="14"/>
      <c r="EK310" s="65"/>
      <c r="EL310" s="13"/>
      <c r="EM310" s="14"/>
      <c r="EO310" s="65"/>
      <c r="EP310" s="13"/>
      <c r="EQ310" s="14"/>
      <c r="ES310" s="65"/>
      <c r="ET310" s="13"/>
      <c r="EU310" s="14"/>
      <c r="EW310" s="65"/>
      <c r="EX310" s="13"/>
      <c r="EY310" s="14"/>
      <c r="FA310" s="65"/>
      <c r="FB310" s="13"/>
      <c r="FC310" s="14"/>
      <c r="FE310" s="65"/>
      <c r="FF310" s="13"/>
      <c r="FG310" s="14"/>
      <c r="FI310" s="65"/>
      <c r="FJ310" s="13"/>
      <c r="FK310" s="14"/>
      <c r="FM310" s="65"/>
      <c r="FN310" s="13"/>
      <c r="FO310" s="14"/>
      <c r="FQ310" s="65"/>
      <c r="FR310" s="13"/>
      <c r="FS310" s="14"/>
      <c r="FU310" s="65"/>
      <c r="FV310" s="13"/>
      <c r="FW310" s="14"/>
      <c r="FY310" s="65"/>
      <c r="FZ310" s="13"/>
      <c r="GA310" s="14"/>
      <c r="GC310" s="65"/>
      <c r="GD310" s="13"/>
      <c r="GE310" s="14"/>
      <c r="GG310" s="65"/>
      <c r="GH310" s="13"/>
      <c r="GI310" s="14"/>
      <c r="GK310" s="65"/>
      <c r="GL310" s="13"/>
      <c r="GM310" s="14"/>
      <c r="GO310" s="65"/>
      <c r="GP310" s="13"/>
      <c r="GQ310" s="14"/>
      <c r="GS310" s="65"/>
      <c r="GT310" s="13"/>
      <c r="GU310" s="14"/>
      <c r="GW310" s="65"/>
      <c r="GX310" s="13"/>
      <c r="GY310" s="14"/>
      <c r="HA310" s="65"/>
      <c r="HB310" s="13"/>
      <c r="HC310" s="14"/>
      <c r="HE310" s="65"/>
      <c r="HF310" s="13"/>
      <c r="HG310" s="14"/>
      <c r="HI310" s="65"/>
      <c r="HJ310" s="13"/>
      <c r="HK310" s="14"/>
      <c r="HM310" s="65"/>
      <c r="HN310" s="13"/>
      <c r="HO310" s="14"/>
      <c r="HQ310" s="65"/>
      <c r="HR310" s="13"/>
      <c r="HS310" s="14"/>
      <c r="HU310" s="65"/>
      <c r="HV310" s="13"/>
      <c r="HW310" s="14"/>
      <c r="HY310" s="65"/>
      <c r="HZ310" s="13"/>
      <c r="IA310" s="14"/>
      <c r="IC310" s="65"/>
      <c r="ID310" s="13"/>
      <c r="IE310" s="14"/>
      <c r="IG310" s="65"/>
      <c r="IH310" s="13"/>
      <c r="II310" s="14"/>
      <c r="IK310" s="65"/>
      <c r="IL310" s="13"/>
      <c r="IM310" s="14"/>
      <c r="IO310" s="65"/>
      <c r="IP310" s="13"/>
      <c r="IQ310" s="14"/>
      <c r="IS310" s="65"/>
      <c r="IT310" s="13"/>
      <c r="IU310" s="14"/>
      <c r="IW310" s="65"/>
      <c r="IX310" s="13"/>
      <c r="IY310" s="14"/>
      <c r="JA310" s="65"/>
      <c r="JB310" s="13"/>
      <c r="JC310" s="14"/>
      <c r="JE310" s="65"/>
      <c r="JF310" s="13"/>
      <c r="JG310" s="14"/>
      <c r="JI310" s="65"/>
      <c r="JJ310" s="13"/>
      <c r="JK310" s="14"/>
      <c r="JM310" s="65"/>
      <c r="JN310" s="13"/>
      <c r="JO310" s="14"/>
      <c r="JQ310" s="65"/>
      <c r="JR310" s="13"/>
      <c r="JS310" s="14"/>
      <c r="JU310" s="65"/>
      <c r="JV310" s="13"/>
      <c r="JW310" s="14"/>
      <c r="JY310" s="65"/>
      <c r="JZ310" s="13"/>
      <c r="KA310" s="14"/>
      <c r="KC310" s="65"/>
      <c r="KD310" s="13"/>
      <c r="KE310" s="14"/>
      <c r="KG310" s="65"/>
      <c r="KH310" s="13"/>
      <c r="KI310" s="14"/>
      <c r="KK310" s="65"/>
      <c r="KL310" s="13"/>
      <c r="KM310" s="14"/>
      <c r="KO310" s="65"/>
      <c r="KP310" s="13"/>
      <c r="KQ310" s="14"/>
      <c r="KS310" s="65"/>
      <c r="KT310" s="13"/>
      <c r="KU310" s="14"/>
      <c r="KW310" s="65"/>
      <c r="KX310" s="13"/>
      <c r="KY310" s="14"/>
      <c r="LA310" s="65"/>
      <c r="LB310" s="13"/>
      <c r="LC310" s="14"/>
      <c r="LE310" s="65"/>
      <c r="LF310" s="13"/>
      <c r="LG310" s="14"/>
      <c r="LI310" s="65"/>
      <c r="LJ310" s="13"/>
      <c r="LK310" s="14"/>
      <c r="LM310" s="65"/>
      <c r="LN310" s="13"/>
      <c r="LO310" s="14"/>
      <c r="LQ310" s="65"/>
      <c r="LR310" s="13"/>
      <c r="LS310" s="14"/>
      <c r="LU310" s="65"/>
      <c r="LV310" s="13"/>
      <c r="LW310" s="14"/>
      <c r="LY310" s="65"/>
      <c r="LZ310" s="13"/>
      <c r="MA310" s="14"/>
      <c r="MC310" s="65"/>
      <c r="MD310" s="13"/>
      <c r="ME310" s="14"/>
      <c r="MG310" s="65"/>
      <c r="MH310" s="13"/>
      <c r="MI310" s="14"/>
      <c r="MK310" s="65"/>
      <c r="ML310" s="13"/>
      <c r="MM310" s="14"/>
      <c r="MO310" s="65"/>
      <c r="MP310" s="13"/>
      <c r="MQ310" s="14"/>
      <c r="MS310" s="65"/>
      <c r="MT310" s="13"/>
      <c r="MU310" s="14"/>
    </row>
    <row r="311" spans="1:359" hidden="1" x14ac:dyDescent="0.25">
      <c r="A311" s="15">
        <f t="shared" si="203"/>
        <v>25407025.958588969</v>
      </c>
      <c r="B311" s="20">
        <v>43005</v>
      </c>
      <c r="T311" s="15"/>
      <c r="U311" s="20"/>
      <c r="DY311" s="65"/>
      <c r="DZ311" s="13"/>
      <c r="EA311" s="14"/>
      <c r="EC311" s="65"/>
      <c r="ED311" s="13"/>
      <c r="EE311" s="14"/>
      <c r="EG311" s="65"/>
      <c r="EH311" s="13"/>
      <c r="EI311" s="14"/>
      <c r="EK311" s="65"/>
      <c r="EL311" s="13"/>
      <c r="EM311" s="14"/>
      <c r="EO311" s="65"/>
      <c r="EP311" s="13"/>
      <c r="EQ311" s="14"/>
      <c r="ES311" s="65"/>
      <c r="ET311" s="13"/>
      <c r="EU311" s="14"/>
      <c r="EW311" s="65"/>
      <c r="EX311" s="13"/>
      <c r="EY311" s="14"/>
      <c r="FA311" s="65"/>
      <c r="FB311" s="13"/>
      <c r="FC311" s="14"/>
      <c r="FE311" s="65"/>
      <c r="FF311" s="13"/>
      <c r="FG311" s="14"/>
      <c r="FI311" s="65"/>
      <c r="FJ311" s="13"/>
      <c r="FK311" s="14"/>
      <c r="FM311" s="65"/>
      <c r="FN311" s="13"/>
      <c r="FO311" s="14"/>
      <c r="FQ311" s="65"/>
      <c r="FR311" s="13"/>
      <c r="FS311" s="14"/>
      <c r="FU311" s="65"/>
      <c r="FV311" s="13"/>
      <c r="FW311" s="14"/>
      <c r="FY311" s="65"/>
      <c r="FZ311" s="13"/>
      <c r="GA311" s="14"/>
      <c r="GC311" s="65"/>
      <c r="GD311" s="13"/>
      <c r="GE311" s="14"/>
      <c r="GG311" s="65"/>
      <c r="GH311" s="13"/>
      <c r="GI311" s="14"/>
      <c r="GK311" s="65"/>
      <c r="GL311" s="13"/>
      <c r="GM311" s="14"/>
      <c r="GO311" s="65"/>
      <c r="GP311" s="13"/>
      <c r="GQ311" s="14"/>
      <c r="GS311" s="65"/>
      <c r="GT311" s="13"/>
      <c r="GU311" s="14"/>
      <c r="GW311" s="65"/>
      <c r="GX311" s="13"/>
      <c r="GY311" s="14"/>
      <c r="HA311" s="65"/>
      <c r="HB311" s="13"/>
      <c r="HC311" s="14"/>
      <c r="HE311" s="65"/>
      <c r="HF311" s="13"/>
      <c r="HG311" s="14"/>
      <c r="HI311" s="65"/>
      <c r="HJ311" s="13"/>
      <c r="HK311" s="14"/>
      <c r="HM311" s="65"/>
      <c r="HN311" s="13"/>
      <c r="HO311" s="14"/>
      <c r="HQ311" s="65"/>
      <c r="HR311" s="13"/>
      <c r="HS311" s="14"/>
      <c r="HU311" s="65"/>
      <c r="HV311" s="13"/>
      <c r="HW311" s="14"/>
      <c r="HY311" s="65"/>
      <c r="HZ311" s="13"/>
      <c r="IA311" s="14"/>
      <c r="IC311" s="65"/>
      <c r="ID311" s="13"/>
      <c r="IE311" s="14"/>
      <c r="IG311" s="65"/>
      <c r="IH311" s="13"/>
      <c r="II311" s="14"/>
      <c r="IK311" s="65"/>
      <c r="IL311" s="13"/>
      <c r="IM311" s="14"/>
      <c r="IO311" s="65"/>
      <c r="IP311" s="13"/>
      <c r="IQ311" s="14"/>
      <c r="IS311" s="65"/>
      <c r="IT311" s="13"/>
      <c r="IU311" s="14"/>
      <c r="IW311" s="65"/>
      <c r="IX311" s="13"/>
      <c r="IY311" s="14"/>
      <c r="JA311" s="65"/>
      <c r="JB311" s="13"/>
      <c r="JC311" s="14"/>
      <c r="JE311" s="65"/>
      <c r="JF311" s="13"/>
      <c r="JG311" s="14"/>
      <c r="JI311" s="65"/>
      <c r="JJ311" s="13"/>
      <c r="JK311" s="14"/>
      <c r="JM311" s="65"/>
      <c r="JN311" s="13"/>
      <c r="JO311" s="14"/>
      <c r="JQ311" s="65"/>
      <c r="JR311" s="13"/>
      <c r="JS311" s="14"/>
      <c r="JU311" s="65"/>
      <c r="JV311" s="13"/>
      <c r="JW311" s="14"/>
      <c r="JY311" s="65"/>
      <c r="JZ311" s="13"/>
      <c r="KA311" s="14"/>
      <c r="KC311" s="65"/>
      <c r="KD311" s="13"/>
      <c r="KE311" s="14"/>
      <c r="KG311" s="65"/>
      <c r="KH311" s="13"/>
      <c r="KI311" s="14"/>
      <c r="KK311" s="65"/>
      <c r="KL311" s="13"/>
      <c r="KM311" s="14"/>
      <c r="KO311" s="65"/>
      <c r="KP311" s="13"/>
      <c r="KQ311" s="14"/>
      <c r="KS311" s="65"/>
      <c r="KT311" s="13"/>
      <c r="KU311" s="14"/>
      <c r="KW311" s="65"/>
      <c r="KX311" s="13"/>
      <c r="KY311" s="14"/>
      <c r="LA311" s="65"/>
      <c r="LB311" s="13"/>
      <c r="LC311" s="14"/>
      <c r="LE311" s="65"/>
      <c r="LF311" s="13"/>
      <c r="LG311" s="14"/>
      <c r="LI311" s="65"/>
      <c r="LJ311" s="13"/>
      <c r="LK311" s="14"/>
      <c r="LM311" s="65"/>
      <c r="LN311" s="13"/>
      <c r="LO311" s="14"/>
      <c r="LQ311" s="65"/>
      <c r="LR311" s="13"/>
      <c r="LS311" s="14"/>
      <c r="LU311" s="65"/>
      <c r="LV311" s="13"/>
      <c r="LW311" s="14"/>
      <c r="LY311" s="65"/>
      <c r="LZ311" s="13"/>
      <c r="MA311" s="14"/>
      <c r="MC311" s="65"/>
      <c r="MD311" s="13"/>
      <c r="ME311" s="14"/>
      <c r="MG311" s="65"/>
      <c r="MH311" s="13"/>
      <c r="MI311" s="14"/>
      <c r="MK311" s="65"/>
      <c r="ML311" s="13"/>
      <c r="MM311" s="14"/>
      <c r="MO311" s="65"/>
      <c r="MP311" s="13"/>
      <c r="MQ311" s="14"/>
      <c r="MS311" s="65"/>
      <c r="MT311" s="13"/>
      <c r="MU311" s="14"/>
    </row>
    <row r="312" spans="1:359" hidden="1" x14ac:dyDescent="0.25">
      <c r="A312" s="15">
        <f>+AH63+AL56+AP53+AT53+AX51+BB51+BF50+BJ46+BN46+BR39+BV30+BZ30+CD29+CH29+CL25+CP23+CT23+CX21+DB16+DF15+DJ15+DN8</f>
        <v>25551925.258056808</v>
      </c>
      <c r="B312" s="20">
        <v>43006</v>
      </c>
      <c r="T312" s="15"/>
      <c r="U312" s="20"/>
      <c r="DY312" s="65"/>
      <c r="DZ312" s="13"/>
      <c r="EA312" s="14"/>
      <c r="EC312" s="65"/>
      <c r="ED312" s="13"/>
      <c r="EE312" s="14"/>
      <c r="EG312" s="65"/>
      <c r="EH312" s="13"/>
      <c r="EI312" s="14"/>
      <c r="EK312" s="65"/>
      <c r="EL312" s="13"/>
      <c r="EM312" s="14"/>
      <c r="EO312" s="65"/>
      <c r="EP312" s="13"/>
      <c r="EQ312" s="14"/>
      <c r="ES312" s="65"/>
      <c r="ET312" s="13"/>
      <c r="EU312" s="14"/>
      <c r="EW312" s="65"/>
      <c r="EX312" s="13"/>
      <c r="EY312" s="14"/>
      <c r="FA312" s="65"/>
      <c r="FB312" s="13"/>
      <c r="FC312" s="14"/>
      <c r="FE312" s="65"/>
      <c r="FF312" s="13"/>
      <c r="FG312" s="14"/>
      <c r="FI312" s="65"/>
      <c r="FJ312" s="13"/>
      <c r="FK312" s="14"/>
      <c r="FM312" s="65"/>
      <c r="FN312" s="13"/>
      <c r="FO312" s="14"/>
      <c r="FQ312" s="65"/>
      <c r="FR312" s="13"/>
      <c r="FS312" s="14"/>
      <c r="FU312" s="65"/>
      <c r="FV312" s="13"/>
      <c r="FW312" s="14"/>
      <c r="FY312" s="65"/>
      <c r="FZ312" s="13"/>
      <c r="GA312" s="14"/>
      <c r="GC312" s="65"/>
      <c r="GD312" s="13"/>
      <c r="GE312" s="14"/>
      <c r="GG312" s="65"/>
      <c r="GH312" s="13"/>
      <c r="GI312" s="14"/>
      <c r="GK312" s="65"/>
      <c r="GL312" s="13"/>
      <c r="GM312" s="14"/>
      <c r="GO312" s="65"/>
      <c r="GP312" s="13"/>
      <c r="GQ312" s="14"/>
      <c r="GS312" s="65"/>
      <c r="GT312" s="13"/>
      <c r="GU312" s="14"/>
      <c r="GW312" s="65"/>
      <c r="GX312" s="13"/>
      <c r="GY312" s="14"/>
      <c r="HA312" s="65"/>
      <c r="HB312" s="13"/>
      <c r="HC312" s="14"/>
      <c r="HE312" s="65"/>
      <c r="HF312" s="13"/>
      <c r="HG312" s="14"/>
      <c r="HI312" s="65"/>
      <c r="HJ312" s="13"/>
      <c r="HK312" s="14"/>
      <c r="HM312" s="65"/>
      <c r="HN312" s="13"/>
      <c r="HO312" s="14"/>
      <c r="HQ312" s="65"/>
      <c r="HR312" s="13"/>
      <c r="HS312" s="14"/>
      <c r="HU312" s="65"/>
      <c r="HV312" s="13"/>
      <c r="HW312" s="14"/>
      <c r="HY312" s="65"/>
      <c r="HZ312" s="13"/>
      <c r="IA312" s="14"/>
      <c r="IC312" s="65"/>
      <c r="ID312" s="13"/>
      <c r="IE312" s="14"/>
      <c r="IG312" s="65"/>
      <c r="IH312" s="13"/>
      <c r="II312" s="14"/>
      <c r="IK312" s="65"/>
      <c r="IL312" s="13"/>
      <c r="IM312" s="14"/>
      <c r="IO312" s="65"/>
      <c r="IP312" s="13"/>
      <c r="IQ312" s="14"/>
      <c r="IS312" s="65"/>
      <c r="IT312" s="13"/>
      <c r="IU312" s="14"/>
      <c r="IW312" s="65"/>
      <c r="IX312" s="13"/>
      <c r="IY312" s="14"/>
      <c r="JA312" s="65"/>
      <c r="JB312" s="13"/>
      <c r="JC312" s="14"/>
      <c r="JE312" s="65"/>
      <c r="JF312" s="13"/>
      <c r="JG312" s="14"/>
      <c r="JI312" s="65"/>
      <c r="JJ312" s="13"/>
      <c r="JK312" s="14"/>
      <c r="JM312" s="65"/>
      <c r="JN312" s="13"/>
      <c r="JO312" s="14"/>
      <c r="JQ312" s="65"/>
      <c r="JR312" s="13"/>
      <c r="JS312" s="14"/>
      <c r="JU312" s="65"/>
      <c r="JV312" s="13"/>
      <c r="JW312" s="14"/>
      <c r="JY312" s="65"/>
      <c r="JZ312" s="13"/>
      <c r="KA312" s="14"/>
      <c r="KC312" s="65"/>
      <c r="KD312" s="13"/>
      <c r="KE312" s="14"/>
      <c r="KG312" s="65"/>
      <c r="KH312" s="13"/>
      <c r="KI312" s="14"/>
      <c r="KK312" s="65"/>
      <c r="KL312" s="13"/>
      <c r="KM312" s="14"/>
      <c r="KO312" s="65"/>
      <c r="KP312" s="13"/>
      <c r="KQ312" s="14"/>
      <c r="KS312" s="65"/>
      <c r="KT312" s="13"/>
      <c r="KU312" s="14"/>
      <c r="KW312" s="65"/>
      <c r="KX312" s="13"/>
      <c r="KY312" s="14"/>
      <c r="LA312" s="65"/>
      <c r="LB312" s="13"/>
      <c r="LC312" s="14"/>
      <c r="LE312" s="65"/>
      <c r="LF312" s="13"/>
      <c r="LG312" s="14"/>
      <c r="LI312" s="65"/>
      <c r="LJ312" s="13"/>
      <c r="LK312" s="14"/>
      <c r="LM312" s="65"/>
      <c r="LN312" s="13"/>
      <c r="LO312" s="14"/>
      <c r="LQ312" s="65"/>
      <c r="LR312" s="13"/>
      <c r="LS312" s="14"/>
      <c r="LU312" s="65"/>
      <c r="LV312" s="13"/>
      <c r="LW312" s="14"/>
      <c r="LY312" s="65"/>
      <c r="LZ312" s="13"/>
      <c r="MA312" s="14"/>
      <c r="MC312" s="65"/>
      <c r="MD312" s="13"/>
      <c r="ME312" s="14"/>
      <c r="MG312" s="65"/>
      <c r="MH312" s="13"/>
      <c r="MI312" s="14"/>
      <c r="MK312" s="65"/>
      <c r="ML312" s="13"/>
      <c r="MM312" s="14"/>
      <c r="MO312" s="65"/>
      <c r="MP312" s="13"/>
      <c r="MQ312" s="14"/>
      <c r="MS312" s="65"/>
      <c r="MT312" s="13"/>
      <c r="MU312" s="14"/>
    </row>
    <row r="313" spans="1:359" hidden="1" x14ac:dyDescent="0.25">
      <c r="A313" s="15">
        <f t="shared" ref="A313:A315" si="204">+AH64+AL57+AP54+AT54+AX52+BB52+BF51+BJ47+BN47+BR40+BV31+BZ31+CD30+CH30+CL26+CP24+CT24+CX22+DB17+DF16+DJ16+DN9</f>
        <v>25553193.030208595</v>
      </c>
      <c r="B313" s="20">
        <v>43007</v>
      </c>
      <c r="T313" s="15"/>
      <c r="U313" s="20"/>
      <c r="DY313" s="65"/>
      <c r="DZ313" s="13"/>
      <c r="EA313" s="14"/>
      <c r="EC313" s="65"/>
      <c r="ED313" s="13"/>
      <c r="EE313" s="14"/>
      <c r="EG313" s="65"/>
      <c r="EH313" s="13"/>
      <c r="EI313" s="14"/>
      <c r="EK313" s="65"/>
      <c r="EL313" s="13"/>
      <c r="EM313" s="14"/>
      <c r="EO313" s="65"/>
      <c r="EP313" s="13"/>
      <c r="EQ313" s="14"/>
      <c r="ES313" s="65"/>
      <c r="ET313" s="13"/>
      <c r="EU313" s="14"/>
      <c r="EW313" s="65"/>
      <c r="EX313" s="13"/>
      <c r="EY313" s="14"/>
      <c r="FA313" s="65"/>
      <c r="FB313" s="13"/>
      <c r="FC313" s="14"/>
      <c r="FE313" s="65"/>
      <c r="FF313" s="13"/>
      <c r="FG313" s="14"/>
      <c r="FI313" s="65"/>
      <c r="FJ313" s="13"/>
      <c r="FK313" s="14"/>
      <c r="FM313" s="65"/>
      <c r="FN313" s="13"/>
      <c r="FO313" s="14"/>
      <c r="FQ313" s="65"/>
      <c r="FR313" s="13"/>
      <c r="FS313" s="14"/>
      <c r="FU313" s="65"/>
      <c r="FV313" s="13"/>
      <c r="FW313" s="14"/>
      <c r="FY313" s="65"/>
      <c r="FZ313" s="13"/>
      <c r="GA313" s="14"/>
      <c r="GC313" s="65"/>
      <c r="GD313" s="13"/>
      <c r="GE313" s="14"/>
      <c r="GG313" s="65"/>
      <c r="GH313" s="13"/>
      <c r="GI313" s="14"/>
      <c r="GK313" s="65"/>
      <c r="GL313" s="13"/>
      <c r="GM313" s="14"/>
      <c r="GO313" s="65"/>
      <c r="GP313" s="13"/>
      <c r="GQ313" s="14"/>
      <c r="GS313" s="65"/>
      <c r="GT313" s="13"/>
      <c r="GU313" s="14"/>
      <c r="GW313" s="65"/>
      <c r="GX313" s="13"/>
      <c r="GY313" s="14"/>
      <c r="HA313" s="65"/>
      <c r="HB313" s="13"/>
      <c r="HC313" s="14"/>
      <c r="HE313" s="65"/>
      <c r="HF313" s="13"/>
      <c r="HG313" s="14"/>
      <c r="HI313" s="65"/>
      <c r="HJ313" s="13"/>
      <c r="HK313" s="14"/>
      <c r="HM313" s="65"/>
      <c r="HN313" s="13"/>
      <c r="HO313" s="14"/>
      <c r="HQ313" s="65"/>
      <c r="HR313" s="13"/>
      <c r="HS313" s="14"/>
      <c r="HU313" s="65"/>
      <c r="HV313" s="13"/>
      <c r="HW313" s="14"/>
      <c r="HY313" s="65"/>
      <c r="HZ313" s="13"/>
      <c r="IA313" s="14"/>
      <c r="IC313" s="65"/>
      <c r="ID313" s="13"/>
      <c r="IE313" s="14"/>
      <c r="IG313" s="65"/>
      <c r="IH313" s="13"/>
      <c r="II313" s="14"/>
      <c r="IK313" s="65"/>
      <c r="IL313" s="13"/>
      <c r="IM313" s="14"/>
      <c r="IO313" s="65"/>
      <c r="IP313" s="13"/>
      <c r="IQ313" s="14"/>
      <c r="IS313" s="65"/>
      <c r="IT313" s="13"/>
      <c r="IU313" s="14"/>
      <c r="IW313" s="65"/>
      <c r="IX313" s="13"/>
      <c r="IY313" s="14"/>
      <c r="JA313" s="65"/>
      <c r="JB313" s="13"/>
      <c r="JC313" s="14"/>
      <c r="JE313" s="65"/>
      <c r="JF313" s="13"/>
      <c r="JG313" s="14"/>
      <c r="JI313" s="65"/>
      <c r="JJ313" s="13"/>
      <c r="JK313" s="14"/>
      <c r="JM313" s="65"/>
      <c r="JN313" s="13"/>
      <c r="JO313" s="14"/>
      <c r="JQ313" s="65"/>
      <c r="JR313" s="13"/>
      <c r="JS313" s="14"/>
      <c r="JU313" s="65"/>
      <c r="JV313" s="13"/>
      <c r="JW313" s="14"/>
      <c r="JY313" s="65"/>
      <c r="JZ313" s="13"/>
      <c r="KA313" s="14"/>
      <c r="KC313" s="65"/>
      <c r="KD313" s="13"/>
      <c r="KE313" s="14"/>
      <c r="KG313" s="65"/>
      <c r="KH313" s="13"/>
      <c r="KI313" s="14"/>
      <c r="KK313" s="65"/>
      <c r="KL313" s="13"/>
      <c r="KM313" s="14"/>
      <c r="KO313" s="65"/>
      <c r="KP313" s="13"/>
      <c r="KQ313" s="14"/>
      <c r="KS313" s="65"/>
      <c r="KT313" s="13"/>
      <c r="KU313" s="14"/>
      <c r="KW313" s="65"/>
      <c r="KX313" s="13"/>
      <c r="KY313" s="14"/>
      <c r="LA313" s="65"/>
      <c r="LB313" s="13"/>
      <c r="LC313" s="14"/>
      <c r="LE313" s="65"/>
      <c r="LF313" s="13"/>
      <c r="LG313" s="14"/>
      <c r="LI313" s="65"/>
      <c r="LJ313" s="13"/>
      <c r="LK313" s="14"/>
      <c r="LM313" s="65"/>
      <c r="LN313" s="13"/>
      <c r="LO313" s="14"/>
      <c r="LQ313" s="65"/>
      <c r="LR313" s="13"/>
      <c r="LS313" s="14"/>
      <c r="LU313" s="65"/>
      <c r="LV313" s="13"/>
      <c r="LW313" s="14"/>
      <c r="LY313" s="65"/>
      <c r="LZ313" s="13"/>
      <c r="MA313" s="14"/>
      <c r="MC313" s="65"/>
      <c r="MD313" s="13"/>
      <c r="ME313" s="14"/>
      <c r="MG313" s="65"/>
      <c r="MH313" s="13"/>
      <c r="MI313" s="14"/>
      <c r="MK313" s="65"/>
      <c r="ML313" s="13"/>
      <c r="MM313" s="14"/>
      <c r="MO313" s="65"/>
      <c r="MP313" s="13"/>
      <c r="MQ313" s="14"/>
      <c r="MS313" s="65"/>
      <c r="MT313" s="13"/>
      <c r="MU313" s="14"/>
    </row>
    <row r="314" spans="1:359" hidden="1" x14ac:dyDescent="0.25">
      <c r="A314" s="15">
        <f t="shared" si="204"/>
        <v>25554460.933074102</v>
      </c>
      <c r="B314" s="20">
        <v>43008</v>
      </c>
      <c r="T314" s="15"/>
      <c r="U314" s="20"/>
      <c r="DY314" s="65"/>
      <c r="DZ314" s="13"/>
      <c r="EA314" s="14"/>
      <c r="EC314" s="65"/>
      <c r="ED314" s="13"/>
      <c r="EE314" s="14"/>
      <c r="EG314" s="65"/>
      <c r="EH314" s="13"/>
      <c r="EI314" s="14"/>
      <c r="EK314" s="65"/>
      <c r="EL314" s="13"/>
      <c r="EM314" s="14"/>
      <c r="EO314" s="65"/>
      <c r="EP314" s="13"/>
      <c r="EQ314" s="14"/>
      <c r="ES314" s="65"/>
      <c r="ET314" s="13"/>
      <c r="EU314" s="14"/>
      <c r="EW314" s="65"/>
      <c r="EX314" s="13"/>
      <c r="EY314" s="14"/>
      <c r="FA314" s="65"/>
      <c r="FB314" s="13"/>
      <c r="FC314" s="14"/>
      <c r="FE314" s="65"/>
      <c r="FF314" s="13"/>
      <c r="FG314" s="14"/>
      <c r="FI314" s="65"/>
      <c r="FJ314" s="13"/>
      <c r="FK314" s="14"/>
      <c r="FM314" s="65"/>
      <c r="FN314" s="13"/>
      <c r="FO314" s="14"/>
      <c r="FQ314" s="65"/>
      <c r="FR314" s="13"/>
      <c r="FS314" s="14"/>
      <c r="FU314" s="65"/>
      <c r="FV314" s="13"/>
      <c r="FW314" s="14"/>
      <c r="FY314" s="65"/>
      <c r="FZ314" s="13"/>
      <c r="GA314" s="14"/>
      <c r="GC314" s="65"/>
      <c r="GD314" s="13"/>
      <c r="GE314" s="14"/>
      <c r="GG314" s="65"/>
      <c r="GH314" s="13"/>
      <c r="GI314" s="14"/>
      <c r="GK314" s="65"/>
      <c r="GL314" s="13"/>
      <c r="GM314" s="14"/>
      <c r="GO314" s="65"/>
      <c r="GP314" s="13"/>
      <c r="GQ314" s="14"/>
      <c r="GS314" s="65"/>
      <c r="GT314" s="13"/>
      <c r="GU314" s="14"/>
      <c r="GW314" s="65"/>
      <c r="GX314" s="13"/>
      <c r="GY314" s="14"/>
      <c r="HA314" s="65"/>
      <c r="HB314" s="13"/>
      <c r="HC314" s="14"/>
      <c r="HE314" s="65"/>
      <c r="HF314" s="13"/>
      <c r="HG314" s="14"/>
      <c r="HI314" s="65"/>
      <c r="HJ314" s="13"/>
      <c r="HK314" s="14"/>
      <c r="HM314" s="65"/>
      <c r="HN314" s="13"/>
      <c r="HO314" s="14"/>
      <c r="HQ314" s="65"/>
      <c r="HR314" s="13"/>
      <c r="HS314" s="14"/>
      <c r="HU314" s="65"/>
      <c r="HV314" s="13"/>
      <c r="HW314" s="14"/>
      <c r="HY314" s="65"/>
      <c r="HZ314" s="13"/>
      <c r="IA314" s="14"/>
      <c r="IC314" s="65"/>
      <c r="ID314" s="13"/>
      <c r="IE314" s="14"/>
      <c r="IG314" s="65"/>
      <c r="IH314" s="13"/>
      <c r="II314" s="14"/>
      <c r="IK314" s="65"/>
      <c r="IL314" s="13"/>
      <c r="IM314" s="14"/>
      <c r="IO314" s="65"/>
      <c r="IP314" s="13"/>
      <c r="IQ314" s="14"/>
      <c r="IS314" s="65"/>
      <c r="IT314" s="13"/>
      <c r="IU314" s="14"/>
      <c r="IW314" s="65"/>
      <c r="IX314" s="13"/>
      <c r="IY314" s="14"/>
      <c r="JA314" s="65"/>
      <c r="JB314" s="13"/>
      <c r="JC314" s="14"/>
      <c r="JE314" s="65"/>
      <c r="JF314" s="13"/>
      <c r="JG314" s="14"/>
      <c r="JI314" s="65"/>
      <c r="JJ314" s="13"/>
      <c r="JK314" s="14"/>
      <c r="JM314" s="65"/>
      <c r="JN314" s="13"/>
      <c r="JO314" s="14"/>
      <c r="JQ314" s="65"/>
      <c r="JR314" s="13"/>
      <c r="JS314" s="14"/>
      <c r="JU314" s="65"/>
      <c r="JV314" s="13"/>
      <c r="JW314" s="14"/>
      <c r="JY314" s="65"/>
      <c r="JZ314" s="13"/>
      <c r="KA314" s="14"/>
      <c r="KC314" s="65"/>
      <c r="KD314" s="13"/>
      <c r="KE314" s="14"/>
      <c r="KG314" s="65"/>
      <c r="KH314" s="13"/>
      <c r="KI314" s="14"/>
      <c r="KK314" s="65"/>
      <c r="KL314" s="13"/>
      <c r="KM314" s="14"/>
      <c r="KO314" s="65"/>
      <c r="KP314" s="13"/>
      <c r="KQ314" s="14"/>
      <c r="KS314" s="65"/>
      <c r="KT314" s="13"/>
      <c r="KU314" s="14"/>
      <c r="KW314" s="65"/>
      <c r="KX314" s="13"/>
      <c r="KY314" s="14"/>
      <c r="LA314" s="65"/>
      <c r="LB314" s="13"/>
      <c r="LC314" s="14"/>
      <c r="LE314" s="65"/>
      <c r="LF314" s="13"/>
      <c r="LG314" s="14"/>
      <c r="LI314" s="65"/>
      <c r="LJ314" s="13"/>
      <c r="LK314" s="14"/>
      <c r="LM314" s="65"/>
      <c r="LN314" s="13"/>
      <c r="LO314" s="14"/>
      <c r="LQ314" s="65"/>
      <c r="LR314" s="13"/>
      <c r="LS314" s="14"/>
      <c r="LU314" s="65"/>
      <c r="LV314" s="13"/>
      <c r="LW314" s="14"/>
      <c r="LY314" s="65"/>
      <c r="LZ314" s="13"/>
      <c r="MA314" s="14"/>
      <c r="MC314" s="65"/>
      <c r="MD314" s="13"/>
      <c r="ME314" s="14"/>
      <c r="MG314" s="65"/>
      <c r="MH314" s="13"/>
      <c r="MI314" s="14"/>
      <c r="MK314" s="65"/>
      <c r="ML314" s="13"/>
      <c r="MM314" s="14"/>
      <c r="MO314" s="65"/>
      <c r="MP314" s="13"/>
      <c r="MQ314" s="14"/>
      <c r="MS314" s="65"/>
      <c r="MT314" s="13"/>
      <c r="MU314" s="14"/>
    </row>
    <row r="315" spans="1:359" x14ac:dyDescent="0.25">
      <c r="A315" s="15">
        <f t="shared" si="204"/>
        <v>25555728.966674436</v>
      </c>
      <c r="B315" s="20">
        <v>43009</v>
      </c>
      <c r="T315" s="15"/>
      <c r="U315" s="20"/>
      <c r="DY315" s="65"/>
      <c r="DZ315" s="13"/>
      <c r="EA315" s="14"/>
      <c r="EC315" s="65"/>
      <c r="ED315" s="13"/>
      <c r="EE315" s="14"/>
      <c r="EG315" s="65"/>
      <c r="EH315" s="13"/>
      <c r="EI315" s="14"/>
      <c r="EK315" s="65"/>
      <c r="EL315" s="13"/>
      <c r="EM315" s="14"/>
      <c r="EO315" s="65"/>
      <c r="EP315" s="13"/>
      <c r="EQ315" s="14"/>
      <c r="ES315" s="65"/>
      <c r="ET315" s="13"/>
      <c r="EU315" s="14"/>
      <c r="EW315" s="65"/>
      <c r="EX315" s="13"/>
      <c r="EY315" s="14"/>
      <c r="FA315" s="65"/>
      <c r="FB315" s="13"/>
      <c r="FC315" s="14"/>
      <c r="FE315" s="65"/>
      <c r="FF315" s="13"/>
      <c r="FG315" s="14"/>
      <c r="FI315" s="65"/>
      <c r="FJ315" s="13"/>
      <c r="FK315" s="14"/>
      <c r="FM315" s="65"/>
      <c r="FN315" s="13"/>
      <c r="FO315" s="14"/>
      <c r="FQ315" s="65"/>
      <c r="FR315" s="13"/>
      <c r="FS315" s="14"/>
      <c r="FU315" s="65"/>
      <c r="FV315" s="13"/>
      <c r="FW315" s="14"/>
      <c r="FY315" s="65"/>
      <c r="FZ315" s="13"/>
      <c r="GA315" s="14"/>
      <c r="GC315" s="65"/>
      <c r="GD315" s="13"/>
      <c r="GE315" s="14"/>
      <c r="GG315" s="65"/>
      <c r="GH315" s="13"/>
      <c r="GI315" s="14"/>
      <c r="GK315" s="65"/>
      <c r="GL315" s="13"/>
      <c r="GM315" s="14"/>
      <c r="GO315" s="65"/>
      <c r="GP315" s="13"/>
      <c r="GQ315" s="14"/>
      <c r="GS315" s="65"/>
      <c r="GT315" s="13"/>
      <c r="GU315" s="14"/>
      <c r="GW315" s="65"/>
      <c r="GX315" s="13"/>
      <c r="GY315" s="14"/>
      <c r="HA315" s="65"/>
      <c r="HB315" s="13"/>
      <c r="HC315" s="14"/>
      <c r="HE315" s="65"/>
      <c r="HF315" s="13"/>
      <c r="HG315" s="14"/>
      <c r="HI315" s="65"/>
      <c r="HJ315" s="13"/>
      <c r="HK315" s="14"/>
      <c r="HM315" s="65"/>
      <c r="HN315" s="13"/>
      <c r="HO315" s="14"/>
      <c r="HQ315" s="65"/>
      <c r="HR315" s="13"/>
      <c r="HS315" s="14"/>
      <c r="HU315" s="65"/>
      <c r="HV315" s="13"/>
      <c r="HW315" s="14"/>
      <c r="HY315" s="65"/>
      <c r="HZ315" s="13"/>
      <c r="IA315" s="14"/>
      <c r="IC315" s="65"/>
      <c r="ID315" s="13"/>
      <c r="IE315" s="14"/>
      <c r="IG315" s="65"/>
      <c r="IH315" s="13"/>
      <c r="II315" s="14"/>
      <c r="IK315" s="65"/>
      <c r="IL315" s="13"/>
      <c r="IM315" s="14"/>
      <c r="IO315" s="65"/>
      <c r="IP315" s="13"/>
      <c r="IQ315" s="14"/>
      <c r="IS315" s="65"/>
      <c r="IT315" s="13"/>
      <c r="IU315" s="14"/>
      <c r="IW315" s="65"/>
      <c r="IX315" s="13"/>
      <c r="IY315" s="14"/>
      <c r="JA315" s="65"/>
      <c r="JB315" s="13"/>
      <c r="JC315" s="14"/>
      <c r="JE315" s="65"/>
      <c r="JF315" s="13"/>
      <c r="JG315" s="14"/>
      <c r="JI315" s="65"/>
      <c r="JJ315" s="13"/>
      <c r="JK315" s="14"/>
      <c r="JM315" s="65"/>
      <c r="JN315" s="13"/>
      <c r="JO315" s="14"/>
      <c r="JQ315" s="65"/>
      <c r="JR315" s="13"/>
      <c r="JS315" s="14"/>
      <c r="JU315" s="65"/>
      <c r="JV315" s="13"/>
      <c r="JW315" s="14"/>
      <c r="JY315" s="65"/>
      <c r="JZ315" s="13"/>
      <c r="KA315" s="14"/>
      <c r="KC315" s="65"/>
      <c r="KD315" s="13"/>
      <c r="KE315" s="14"/>
      <c r="KG315" s="65"/>
      <c r="KH315" s="13"/>
      <c r="KI315" s="14"/>
      <c r="KK315" s="65"/>
      <c r="KL315" s="13"/>
      <c r="KM315" s="14"/>
      <c r="KO315" s="65"/>
      <c r="KP315" s="13"/>
      <c r="KQ315" s="14"/>
      <c r="KS315" s="65"/>
      <c r="KT315" s="13"/>
      <c r="KU315" s="14"/>
      <c r="KW315" s="65"/>
      <c r="KX315" s="13"/>
      <c r="KY315" s="14"/>
      <c r="LA315" s="65"/>
      <c r="LB315" s="13"/>
      <c r="LC315" s="14"/>
      <c r="LE315" s="65"/>
      <c r="LF315" s="13"/>
      <c r="LG315" s="14"/>
      <c r="LI315" s="65"/>
      <c r="LJ315" s="13"/>
      <c r="LK315" s="14"/>
      <c r="LM315" s="65"/>
      <c r="LN315" s="13"/>
      <c r="LO315" s="14"/>
      <c r="LQ315" s="65"/>
      <c r="LR315" s="13"/>
      <c r="LS315" s="14"/>
      <c r="LU315" s="65"/>
      <c r="LV315" s="13"/>
      <c r="LW315" s="14"/>
      <c r="LY315" s="65"/>
      <c r="LZ315" s="13"/>
      <c r="MA315" s="14"/>
      <c r="MC315" s="65"/>
      <c r="MD315" s="13"/>
      <c r="ME315" s="14"/>
      <c r="MG315" s="65"/>
      <c r="MH315" s="13"/>
      <c r="MI315" s="14"/>
      <c r="MK315" s="65"/>
      <c r="ML315" s="13"/>
      <c r="MM315" s="14"/>
      <c r="MO315" s="65"/>
      <c r="MP315" s="13"/>
      <c r="MQ315" s="14"/>
      <c r="MS315" s="65"/>
      <c r="MT315" s="13"/>
      <c r="MU315" s="14"/>
    </row>
    <row r="316" spans="1:359" x14ac:dyDescent="0.25">
      <c r="A316" s="15">
        <f>+AH67+AL60+AP57+AT57+AX55+BB55+BF54+BJ50+BN50+BR43+BV34+BZ34+CD33+CH33+CL29+CP27+CT27+CX25+DB20+DF19+DJ19+DN12+DV8</f>
        <v>23065148.764935274</v>
      </c>
      <c r="B316" s="20">
        <v>43010</v>
      </c>
      <c r="T316" s="15"/>
      <c r="U316" s="20"/>
      <c r="DY316" s="65"/>
      <c r="DZ316" s="13"/>
      <c r="EA316" s="14"/>
      <c r="EC316" s="65"/>
      <c r="ED316" s="13"/>
      <c r="EE316" s="14"/>
      <c r="EG316" s="65"/>
      <c r="EH316" s="13"/>
      <c r="EI316" s="14"/>
      <c r="EK316" s="65"/>
      <c r="EL316" s="13"/>
      <c r="EM316" s="14"/>
      <c r="EO316" s="65"/>
      <c r="EP316" s="13"/>
      <c r="EQ316" s="14"/>
      <c r="ES316" s="65"/>
      <c r="ET316" s="13"/>
      <c r="EU316" s="14"/>
      <c r="EW316" s="65"/>
      <c r="EX316" s="13"/>
      <c r="EY316" s="14"/>
      <c r="FA316" s="65"/>
      <c r="FB316" s="13"/>
      <c r="FC316" s="14"/>
      <c r="FE316" s="65"/>
      <c r="FF316" s="13"/>
      <c r="FG316" s="14"/>
      <c r="FI316" s="65"/>
      <c r="FJ316" s="13"/>
      <c r="FK316" s="14"/>
      <c r="FM316" s="65"/>
      <c r="FN316" s="13"/>
      <c r="FO316" s="14"/>
      <c r="FQ316" s="65"/>
      <c r="FR316" s="13"/>
      <c r="FS316" s="14"/>
      <c r="FU316" s="65"/>
      <c r="FV316" s="13"/>
      <c r="FW316" s="14"/>
      <c r="FY316" s="65"/>
      <c r="FZ316" s="13"/>
      <c r="GA316" s="14"/>
      <c r="GC316" s="65"/>
      <c r="GD316" s="13"/>
      <c r="GE316" s="14"/>
      <c r="GG316" s="65"/>
      <c r="GH316" s="13"/>
      <c r="GI316" s="14"/>
      <c r="GK316" s="65"/>
      <c r="GL316" s="13"/>
      <c r="GM316" s="14"/>
      <c r="GO316" s="65"/>
      <c r="GP316" s="13"/>
      <c r="GQ316" s="14"/>
      <c r="GS316" s="65"/>
      <c r="GT316" s="13"/>
      <c r="GU316" s="14"/>
      <c r="GW316" s="65"/>
      <c r="GX316" s="13"/>
      <c r="GY316" s="14"/>
      <c r="HA316" s="65"/>
      <c r="HB316" s="13"/>
      <c r="HC316" s="14"/>
      <c r="HE316" s="65"/>
      <c r="HF316" s="13"/>
      <c r="HG316" s="14"/>
      <c r="HI316" s="65"/>
      <c r="HJ316" s="13"/>
      <c r="HK316" s="14"/>
      <c r="HM316" s="65"/>
      <c r="HN316" s="13"/>
      <c r="HO316" s="14"/>
      <c r="HQ316" s="65"/>
      <c r="HR316" s="13"/>
      <c r="HS316" s="14"/>
      <c r="HU316" s="65"/>
      <c r="HV316" s="13"/>
      <c r="HW316" s="14"/>
      <c r="HY316" s="65"/>
      <c r="HZ316" s="13"/>
      <c r="IA316" s="14"/>
      <c r="IC316" s="65"/>
      <c r="ID316" s="13"/>
      <c r="IE316" s="14"/>
      <c r="IG316" s="65"/>
      <c r="IH316" s="13"/>
      <c r="II316" s="14"/>
      <c r="IK316" s="65"/>
      <c r="IL316" s="13"/>
      <c r="IM316" s="14"/>
      <c r="IO316" s="65"/>
      <c r="IP316" s="13"/>
      <c r="IQ316" s="14"/>
      <c r="IS316" s="65"/>
      <c r="IT316" s="13"/>
      <c r="IU316" s="14"/>
      <c r="IW316" s="65"/>
      <c r="IX316" s="13"/>
      <c r="IY316" s="14"/>
      <c r="JA316" s="65"/>
      <c r="JB316" s="13"/>
      <c r="JC316" s="14"/>
      <c r="JE316" s="65"/>
      <c r="JF316" s="13"/>
      <c r="JG316" s="14"/>
      <c r="JI316" s="65"/>
      <c r="JJ316" s="13"/>
      <c r="JK316" s="14"/>
      <c r="JM316" s="65"/>
      <c r="JN316" s="13"/>
      <c r="JO316" s="14"/>
      <c r="JQ316" s="65"/>
      <c r="JR316" s="13"/>
      <c r="JS316" s="14"/>
      <c r="JU316" s="65"/>
      <c r="JV316" s="13"/>
      <c r="JW316" s="14"/>
      <c r="JY316" s="65"/>
      <c r="JZ316" s="13"/>
      <c r="KA316" s="14"/>
      <c r="KC316" s="65"/>
      <c r="KD316" s="13"/>
      <c r="KE316" s="14"/>
      <c r="KG316" s="65"/>
      <c r="KH316" s="13"/>
      <c r="KI316" s="14"/>
      <c r="KK316" s="65"/>
      <c r="KL316" s="13"/>
      <c r="KM316" s="14"/>
      <c r="KO316" s="65"/>
      <c r="KP316" s="13"/>
      <c r="KQ316" s="14"/>
      <c r="KS316" s="65"/>
      <c r="KT316" s="13"/>
      <c r="KU316" s="14"/>
      <c r="KW316" s="65"/>
      <c r="KX316" s="13"/>
      <c r="KY316" s="14"/>
      <c r="LA316" s="65"/>
      <c r="LB316" s="13"/>
      <c r="LC316" s="14"/>
      <c r="LE316" s="65"/>
      <c r="LF316" s="13"/>
      <c r="LG316" s="14"/>
      <c r="LI316" s="65"/>
      <c r="LJ316" s="13"/>
      <c r="LK316" s="14"/>
      <c r="LM316" s="65"/>
      <c r="LN316" s="13"/>
      <c r="LO316" s="14"/>
      <c r="LQ316" s="65"/>
      <c r="LR316" s="13"/>
      <c r="LS316" s="14"/>
      <c r="LU316" s="65"/>
      <c r="LV316" s="13"/>
      <c r="LW316" s="14"/>
      <c r="LY316" s="65"/>
      <c r="LZ316" s="13"/>
      <c r="MA316" s="14"/>
      <c r="MC316" s="65"/>
      <c r="MD316" s="13"/>
      <c r="ME316" s="14"/>
      <c r="MG316" s="65"/>
      <c r="MH316" s="13"/>
      <c r="MI316" s="14"/>
      <c r="MK316" s="65"/>
      <c r="ML316" s="13"/>
      <c r="MM316" s="14"/>
      <c r="MO316" s="65"/>
      <c r="MP316" s="13"/>
      <c r="MQ316" s="14"/>
      <c r="MS316" s="65"/>
      <c r="MT316" s="13"/>
      <c r="MU316" s="14"/>
    </row>
    <row r="317" spans="1:359" x14ac:dyDescent="0.25">
      <c r="A317" s="15">
        <f t="shared" ref="A317:A318" si="205">+AH68+AL61+AP58+AT58+AX56+BB56+BF55+BJ51+BN51+BR44+BV35+BZ35+CD34+CH34+CL30+CP28+CT28+CX26+DB21+DF20+DJ20+DN13+DV9</f>
        <v>23066322.697442602</v>
      </c>
      <c r="B317" s="20">
        <v>43011</v>
      </c>
      <c r="T317" s="15"/>
      <c r="U317" s="20"/>
      <c r="DY317" s="65"/>
      <c r="DZ317" s="13"/>
      <c r="EA317" s="14"/>
      <c r="EC317" s="65"/>
      <c r="ED317" s="13"/>
      <c r="EE317" s="14"/>
      <c r="EG317" s="65"/>
      <c r="EH317" s="13"/>
      <c r="EI317" s="14"/>
      <c r="EK317" s="65"/>
      <c r="EL317" s="13"/>
      <c r="EM317" s="14"/>
      <c r="EO317" s="65"/>
      <c r="EP317" s="13"/>
      <c r="EQ317" s="14"/>
      <c r="ES317" s="65"/>
      <c r="ET317" s="13"/>
      <c r="EU317" s="14"/>
      <c r="EW317" s="65"/>
      <c r="EX317" s="13"/>
      <c r="EY317" s="14"/>
      <c r="FA317" s="65"/>
      <c r="FB317" s="13"/>
      <c r="FC317" s="14"/>
      <c r="FE317" s="65"/>
      <c r="FF317" s="13"/>
      <c r="FG317" s="14"/>
      <c r="FI317" s="65"/>
      <c r="FJ317" s="13"/>
      <c r="FK317" s="14"/>
      <c r="FM317" s="65"/>
      <c r="FN317" s="13"/>
      <c r="FO317" s="14"/>
      <c r="FQ317" s="65"/>
      <c r="FR317" s="13"/>
      <c r="FS317" s="14"/>
      <c r="FU317" s="65"/>
      <c r="FV317" s="13"/>
      <c r="FW317" s="14"/>
      <c r="FY317" s="65"/>
      <c r="FZ317" s="13"/>
      <c r="GA317" s="14"/>
      <c r="GC317" s="65"/>
      <c r="GD317" s="13"/>
      <c r="GE317" s="14"/>
      <c r="GG317" s="65"/>
      <c r="GH317" s="13"/>
      <c r="GI317" s="14"/>
      <c r="GK317" s="65"/>
      <c r="GL317" s="13"/>
      <c r="GM317" s="14"/>
      <c r="GO317" s="65"/>
      <c r="GP317" s="13"/>
      <c r="GQ317" s="14"/>
      <c r="GS317" s="65"/>
      <c r="GT317" s="13"/>
      <c r="GU317" s="14"/>
      <c r="GW317" s="65"/>
      <c r="GX317" s="13"/>
      <c r="GY317" s="14"/>
      <c r="HA317" s="65"/>
      <c r="HB317" s="13"/>
      <c r="HC317" s="14"/>
      <c r="HE317" s="65"/>
      <c r="HF317" s="13"/>
      <c r="HG317" s="14"/>
      <c r="HI317" s="65"/>
      <c r="HJ317" s="13"/>
      <c r="HK317" s="14"/>
      <c r="HM317" s="65"/>
      <c r="HN317" s="13"/>
      <c r="HO317" s="14"/>
      <c r="HQ317" s="65"/>
      <c r="HR317" s="13"/>
      <c r="HS317" s="14"/>
      <c r="HU317" s="65"/>
      <c r="HV317" s="13"/>
      <c r="HW317" s="14"/>
      <c r="HY317" s="65"/>
      <c r="HZ317" s="13"/>
      <c r="IA317" s="14"/>
      <c r="IC317" s="65"/>
      <c r="ID317" s="13"/>
      <c r="IE317" s="14"/>
      <c r="IG317" s="65"/>
      <c r="IH317" s="13"/>
      <c r="II317" s="14"/>
      <c r="IK317" s="65"/>
      <c r="IL317" s="13"/>
      <c r="IM317" s="14"/>
      <c r="IO317" s="65"/>
      <c r="IP317" s="13"/>
      <c r="IQ317" s="14"/>
      <c r="IS317" s="65"/>
      <c r="IT317" s="13"/>
      <c r="IU317" s="14"/>
      <c r="IW317" s="65"/>
      <c r="IX317" s="13"/>
      <c r="IY317" s="14"/>
      <c r="JA317" s="65"/>
      <c r="JB317" s="13"/>
      <c r="JC317" s="14"/>
      <c r="JE317" s="65"/>
      <c r="JF317" s="13"/>
      <c r="JG317" s="14"/>
      <c r="JI317" s="65"/>
      <c r="JJ317" s="13"/>
      <c r="JK317" s="14"/>
      <c r="JM317" s="65"/>
      <c r="JN317" s="13"/>
      <c r="JO317" s="14"/>
      <c r="JQ317" s="65"/>
      <c r="JR317" s="13"/>
      <c r="JS317" s="14"/>
      <c r="JU317" s="65"/>
      <c r="JV317" s="13"/>
      <c r="JW317" s="14"/>
      <c r="JY317" s="65"/>
      <c r="JZ317" s="13"/>
      <c r="KA317" s="14"/>
      <c r="KC317" s="65"/>
      <c r="KD317" s="13"/>
      <c r="KE317" s="14"/>
      <c r="KG317" s="65"/>
      <c r="KH317" s="13"/>
      <c r="KI317" s="14"/>
      <c r="KK317" s="65"/>
      <c r="KL317" s="13"/>
      <c r="KM317" s="14"/>
      <c r="KO317" s="65"/>
      <c r="KP317" s="13"/>
      <c r="KQ317" s="14"/>
      <c r="KS317" s="65"/>
      <c r="KT317" s="13"/>
      <c r="KU317" s="14"/>
      <c r="KW317" s="65"/>
      <c r="KX317" s="13"/>
      <c r="KY317" s="14"/>
      <c r="LA317" s="65"/>
      <c r="LB317" s="13"/>
      <c r="LC317" s="14"/>
      <c r="LE317" s="65"/>
      <c r="LF317" s="13"/>
      <c r="LG317" s="14"/>
      <c r="LI317" s="65"/>
      <c r="LJ317" s="13"/>
      <c r="LK317" s="14"/>
      <c r="LM317" s="65"/>
      <c r="LN317" s="13"/>
      <c r="LO317" s="14"/>
      <c r="LQ317" s="65"/>
      <c r="LR317" s="13"/>
      <c r="LS317" s="14"/>
      <c r="LU317" s="65"/>
      <c r="LV317" s="13"/>
      <c r="LW317" s="14"/>
      <c r="LY317" s="65"/>
      <c r="LZ317" s="13"/>
      <c r="MA317" s="14"/>
      <c r="MC317" s="65"/>
      <c r="MD317" s="13"/>
      <c r="ME317" s="14"/>
      <c r="MG317" s="65"/>
      <c r="MH317" s="13"/>
      <c r="MI317" s="14"/>
      <c r="MK317" s="65"/>
      <c r="ML317" s="13"/>
      <c r="MM317" s="14"/>
      <c r="MO317" s="65"/>
      <c r="MP317" s="13"/>
      <c r="MQ317" s="14"/>
      <c r="MS317" s="65"/>
      <c r="MT317" s="13"/>
      <c r="MU317" s="14"/>
    </row>
    <row r="318" spans="1:359" x14ac:dyDescent="0.25">
      <c r="A318" s="15">
        <f t="shared" si="205"/>
        <v>23067496.753774609</v>
      </c>
      <c r="B318" s="20">
        <v>43012</v>
      </c>
      <c r="T318" s="15"/>
      <c r="U318" s="20"/>
      <c r="DY318" s="65"/>
      <c r="DZ318" s="13"/>
      <c r="EA318" s="14"/>
      <c r="EC318" s="65"/>
      <c r="ED318" s="13"/>
      <c r="EE318" s="14"/>
      <c r="EG318" s="65"/>
      <c r="EH318" s="13"/>
      <c r="EI318" s="14"/>
      <c r="EK318" s="65"/>
      <c r="EL318" s="13"/>
      <c r="EM318" s="14"/>
      <c r="EO318" s="65"/>
      <c r="EP318" s="13"/>
      <c r="EQ318" s="14"/>
      <c r="ES318" s="65"/>
      <c r="ET318" s="13"/>
      <c r="EU318" s="14"/>
      <c r="EW318" s="65"/>
      <c r="EX318" s="13"/>
      <c r="EY318" s="14"/>
      <c r="FA318" s="65"/>
      <c r="FB318" s="13"/>
      <c r="FC318" s="14"/>
      <c r="FE318" s="65"/>
      <c r="FF318" s="13"/>
      <c r="FG318" s="14"/>
      <c r="FI318" s="65"/>
      <c r="FJ318" s="13"/>
      <c r="FK318" s="14"/>
      <c r="FM318" s="65"/>
      <c r="FN318" s="13"/>
      <c r="FO318" s="14"/>
      <c r="FQ318" s="65"/>
      <c r="FR318" s="13"/>
      <c r="FS318" s="14"/>
      <c r="FU318" s="65"/>
      <c r="FV318" s="13"/>
      <c r="FW318" s="14"/>
      <c r="FY318" s="65"/>
      <c r="FZ318" s="13"/>
      <c r="GA318" s="14"/>
      <c r="GC318" s="65"/>
      <c r="GD318" s="13"/>
      <c r="GE318" s="14"/>
      <c r="GG318" s="65"/>
      <c r="GH318" s="13"/>
      <c r="GI318" s="14"/>
      <c r="GK318" s="65"/>
      <c r="GL318" s="13"/>
      <c r="GM318" s="14"/>
      <c r="GO318" s="65"/>
      <c r="GP318" s="13"/>
      <c r="GQ318" s="14"/>
      <c r="GS318" s="65"/>
      <c r="GT318" s="13"/>
      <c r="GU318" s="14"/>
      <c r="GW318" s="65"/>
      <c r="GX318" s="13"/>
      <c r="GY318" s="14"/>
      <c r="HA318" s="65"/>
      <c r="HB318" s="13"/>
      <c r="HC318" s="14"/>
      <c r="HE318" s="65"/>
      <c r="HF318" s="13"/>
      <c r="HG318" s="14"/>
      <c r="HI318" s="65"/>
      <c r="HJ318" s="13"/>
      <c r="HK318" s="14"/>
      <c r="HM318" s="65"/>
      <c r="HN318" s="13"/>
      <c r="HO318" s="14"/>
      <c r="HQ318" s="65"/>
      <c r="HR318" s="13"/>
      <c r="HS318" s="14"/>
      <c r="HU318" s="65"/>
      <c r="HV318" s="13"/>
      <c r="HW318" s="14"/>
      <c r="HY318" s="65"/>
      <c r="HZ318" s="13"/>
      <c r="IA318" s="14"/>
      <c r="IC318" s="65"/>
      <c r="ID318" s="13"/>
      <c r="IE318" s="14"/>
      <c r="IG318" s="65"/>
      <c r="IH318" s="13"/>
      <c r="II318" s="14"/>
      <c r="IK318" s="65"/>
      <c r="IL318" s="13"/>
      <c r="IM318" s="14"/>
      <c r="IO318" s="65"/>
      <c r="IP318" s="13"/>
      <c r="IQ318" s="14"/>
      <c r="IS318" s="65"/>
      <c r="IT318" s="13"/>
      <c r="IU318" s="14"/>
      <c r="IW318" s="65"/>
      <c r="IX318" s="13"/>
      <c r="IY318" s="14"/>
      <c r="JA318" s="65"/>
      <c r="JB318" s="13"/>
      <c r="JC318" s="14"/>
      <c r="JE318" s="65"/>
      <c r="JF318" s="13"/>
      <c r="JG318" s="14"/>
      <c r="JI318" s="65"/>
      <c r="JJ318" s="13"/>
      <c r="JK318" s="14"/>
      <c r="JM318" s="65"/>
      <c r="JN318" s="13"/>
      <c r="JO318" s="14"/>
      <c r="JQ318" s="65"/>
      <c r="JR318" s="13"/>
      <c r="JS318" s="14"/>
      <c r="JU318" s="65"/>
      <c r="JV318" s="13"/>
      <c r="JW318" s="14"/>
      <c r="JY318" s="65"/>
      <c r="JZ318" s="13"/>
      <c r="KA318" s="14"/>
      <c r="KC318" s="65"/>
      <c r="KD318" s="13"/>
      <c r="KE318" s="14"/>
      <c r="KG318" s="65"/>
      <c r="KH318" s="13"/>
      <c r="KI318" s="14"/>
      <c r="KK318" s="65"/>
      <c r="KL318" s="13"/>
      <c r="KM318" s="14"/>
      <c r="KO318" s="65"/>
      <c r="KP318" s="13"/>
      <c r="KQ318" s="14"/>
      <c r="KS318" s="65"/>
      <c r="KT318" s="13"/>
      <c r="KU318" s="14"/>
      <c r="KW318" s="65"/>
      <c r="KX318" s="13"/>
      <c r="KY318" s="14"/>
      <c r="LA318" s="65"/>
      <c r="LB318" s="13"/>
      <c r="LC318" s="14"/>
      <c r="LE318" s="65"/>
      <c r="LF318" s="13"/>
      <c r="LG318" s="14"/>
      <c r="LI318" s="65"/>
      <c r="LJ318" s="13"/>
      <c r="LK318" s="14"/>
      <c r="LM318" s="65"/>
      <c r="LN318" s="13"/>
      <c r="LO318" s="14"/>
      <c r="LQ318" s="65"/>
      <c r="LR318" s="13"/>
      <c r="LS318" s="14"/>
      <c r="LU318" s="65"/>
      <c r="LV318" s="13"/>
      <c r="LW318" s="14"/>
      <c r="LY318" s="65"/>
      <c r="LZ318" s="13"/>
      <c r="MA318" s="14"/>
      <c r="MC318" s="65"/>
      <c r="MD318" s="13"/>
      <c r="ME318" s="14"/>
      <c r="MG318" s="65"/>
      <c r="MH318" s="13"/>
      <c r="MI318" s="14"/>
      <c r="MK318" s="65"/>
      <c r="ML318" s="13"/>
      <c r="MM318" s="14"/>
      <c r="MO318" s="65"/>
      <c r="MP318" s="13"/>
      <c r="MQ318" s="14"/>
      <c r="MS318" s="65"/>
      <c r="MT318" s="13"/>
      <c r="MU318" s="14"/>
    </row>
    <row r="319" spans="1:359" x14ac:dyDescent="0.25">
      <c r="A319" s="15">
        <f>+AH70+AL63+AP60+AT60+AX58+BB58+BF57+BJ53+BN53+BR46+BV37+BZ37+CD36+CH36+CL32+CP30+CT30+CX28+DB23+DF22+DJ22+DN15+DV11+DZ8</f>
        <v>23859871.253951672</v>
      </c>
      <c r="B319" s="20">
        <v>43013</v>
      </c>
      <c r="T319" s="15"/>
      <c r="U319" s="20"/>
      <c r="DY319" s="65"/>
      <c r="DZ319" s="13"/>
      <c r="EA319" s="14"/>
      <c r="EC319" s="65"/>
      <c r="ED319" s="13"/>
      <c r="EE319" s="14"/>
      <c r="EG319" s="65"/>
      <c r="EH319" s="13"/>
      <c r="EI319" s="14"/>
      <c r="EK319" s="65"/>
      <c r="EL319" s="13"/>
      <c r="EM319" s="14"/>
      <c r="EO319" s="65"/>
      <c r="EP319" s="13"/>
      <c r="EQ319" s="14"/>
      <c r="ES319" s="65"/>
      <c r="ET319" s="13"/>
      <c r="EU319" s="14"/>
      <c r="EW319" s="65"/>
      <c r="EX319" s="13"/>
      <c r="EY319" s="14"/>
      <c r="FA319" s="65"/>
      <c r="FB319" s="13"/>
      <c r="FC319" s="14"/>
      <c r="FE319" s="65"/>
      <c r="FF319" s="13"/>
      <c r="FG319" s="14"/>
      <c r="FI319" s="65"/>
      <c r="FJ319" s="13"/>
      <c r="FK319" s="14"/>
      <c r="FM319" s="65"/>
      <c r="FN319" s="13"/>
      <c r="FO319" s="14"/>
      <c r="FQ319" s="65"/>
      <c r="FR319" s="13"/>
      <c r="FS319" s="14"/>
      <c r="FU319" s="65"/>
      <c r="FV319" s="13"/>
      <c r="FW319" s="14"/>
      <c r="FY319" s="65"/>
      <c r="FZ319" s="13"/>
      <c r="GA319" s="14"/>
      <c r="GC319" s="65"/>
      <c r="GD319" s="13"/>
      <c r="GE319" s="14"/>
      <c r="GG319" s="65"/>
      <c r="GH319" s="13"/>
      <c r="GI319" s="14"/>
      <c r="GK319" s="65"/>
      <c r="GL319" s="13"/>
      <c r="GM319" s="14"/>
      <c r="GO319" s="65"/>
      <c r="GP319" s="13"/>
      <c r="GQ319" s="14"/>
      <c r="GS319" s="65"/>
      <c r="GT319" s="13"/>
      <c r="GU319" s="14"/>
      <c r="GW319" s="65"/>
      <c r="GX319" s="13"/>
      <c r="GY319" s="14"/>
      <c r="HA319" s="65"/>
      <c r="HB319" s="13"/>
      <c r="HC319" s="14"/>
      <c r="HE319" s="65"/>
      <c r="HF319" s="13"/>
      <c r="HG319" s="14"/>
      <c r="HI319" s="65"/>
      <c r="HJ319" s="13"/>
      <c r="HK319" s="14"/>
      <c r="HM319" s="65"/>
      <c r="HN319" s="13"/>
      <c r="HO319" s="14"/>
      <c r="HQ319" s="65"/>
      <c r="HR319" s="13"/>
      <c r="HS319" s="14"/>
      <c r="HU319" s="65"/>
      <c r="HV319" s="13"/>
      <c r="HW319" s="14"/>
      <c r="HY319" s="65"/>
      <c r="HZ319" s="13"/>
      <c r="IA319" s="14"/>
      <c r="IC319" s="65"/>
      <c r="ID319" s="13"/>
      <c r="IE319" s="14"/>
      <c r="IG319" s="65"/>
      <c r="IH319" s="13"/>
      <c r="II319" s="14"/>
      <c r="IK319" s="65"/>
      <c r="IL319" s="13"/>
      <c r="IM319" s="14"/>
      <c r="IO319" s="65"/>
      <c r="IP319" s="13"/>
      <c r="IQ319" s="14"/>
      <c r="IS319" s="65"/>
      <c r="IT319" s="13"/>
      <c r="IU319" s="14"/>
      <c r="IW319" s="65"/>
      <c r="IX319" s="13"/>
      <c r="IY319" s="14"/>
      <c r="JA319" s="65"/>
      <c r="JB319" s="13"/>
      <c r="JC319" s="14"/>
      <c r="JE319" s="65"/>
      <c r="JF319" s="13"/>
      <c r="JG319" s="14"/>
      <c r="JI319" s="65"/>
      <c r="JJ319" s="13"/>
      <c r="JK319" s="14"/>
      <c r="JM319" s="65"/>
      <c r="JN319" s="13"/>
      <c r="JO319" s="14"/>
      <c r="JQ319" s="65"/>
      <c r="JR319" s="13"/>
      <c r="JS319" s="14"/>
      <c r="JU319" s="65"/>
      <c r="JV319" s="13"/>
      <c r="JW319" s="14"/>
      <c r="JY319" s="65"/>
      <c r="JZ319" s="13"/>
      <c r="KA319" s="14"/>
      <c r="KC319" s="65"/>
      <c r="KD319" s="13"/>
      <c r="KE319" s="14"/>
      <c r="KG319" s="65"/>
      <c r="KH319" s="13"/>
      <c r="KI319" s="14"/>
      <c r="KK319" s="65"/>
      <c r="KL319" s="13"/>
      <c r="KM319" s="14"/>
      <c r="KO319" s="65"/>
      <c r="KP319" s="13"/>
      <c r="KQ319" s="14"/>
      <c r="KS319" s="65"/>
      <c r="KT319" s="13"/>
      <c r="KU319" s="14"/>
      <c r="KW319" s="65"/>
      <c r="KX319" s="13"/>
      <c r="KY319" s="14"/>
      <c r="LA319" s="65"/>
      <c r="LB319" s="13"/>
      <c r="LC319" s="14"/>
      <c r="LE319" s="65"/>
      <c r="LF319" s="13"/>
      <c r="LG319" s="14"/>
      <c r="LI319" s="65"/>
      <c r="LJ319" s="13"/>
      <c r="LK319" s="14"/>
      <c r="LM319" s="65"/>
      <c r="LN319" s="13"/>
      <c r="LO319" s="14"/>
      <c r="LQ319" s="65"/>
      <c r="LR319" s="13"/>
      <c r="LS319" s="14"/>
      <c r="LU319" s="65"/>
      <c r="LV319" s="13"/>
      <c r="LW319" s="14"/>
      <c r="LY319" s="65"/>
      <c r="LZ319" s="13"/>
      <c r="MA319" s="14"/>
      <c r="MC319" s="65"/>
      <c r="MD319" s="13"/>
      <c r="ME319" s="14"/>
      <c r="MG319" s="65"/>
      <c r="MH319" s="13"/>
      <c r="MI319" s="14"/>
      <c r="MK319" s="65"/>
      <c r="ML319" s="13"/>
      <c r="MM319" s="14"/>
      <c r="MO319" s="65"/>
      <c r="MP319" s="13"/>
      <c r="MQ319" s="14"/>
      <c r="MS319" s="65"/>
      <c r="MT319" s="13"/>
      <c r="MU319" s="14"/>
    </row>
    <row r="320" spans="1:359" x14ac:dyDescent="0.25">
      <c r="A320" s="15">
        <f>+AH71+AL64+AP61+AT61+AX59+BB59+BF58+BJ54+BN54+BR47+BV38+BZ38+CD37+CH37+CL33+CP31+CT31+CX29+DB24+DF23+DJ23+DN16+DV12+DZ9+ED8</f>
        <v>23285818.31142763</v>
      </c>
      <c r="B320" s="20">
        <v>43014</v>
      </c>
      <c r="T320" s="15"/>
      <c r="U320" s="20"/>
      <c r="DY320" s="65"/>
      <c r="DZ320" s="13"/>
      <c r="EA320" s="14"/>
      <c r="EC320" s="65"/>
      <c r="ED320" s="13"/>
      <c r="EE320" s="14"/>
      <c r="EG320" s="65"/>
      <c r="EH320" s="13"/>
      <c r="EI320" s="14"/>
      <c r="EK320" s="65"/>
      <c r="EL320" s="13"/>
      <c r="EM320" s="14"/>
      <c r="EO320" s="65"/>
      <c r="EP320" s="13"/>
      <c r="EQ320" s="14"/>
      <c r="ES320" s="65"/>
      <c r="ET320" s="13"/>
      <c r="EU320" s="14"/>
      <c r="EW320" s="65"/>
      <c r="EX320" s="13"/>
      <c r="EY320" s="14"/>
      <c r="FA320" s="65"/>
      <c r="FB320" s="13"/>
      <c r="FC320" s="14"/>
      <c r="FE320" s="65"/>
      <c r="FF320" s="13"/>
      <c r="FG320" s="14"/>
      <c r="FI320" s="65"/>
      <c r="FJ320" s="13"/>
      <c r="FK320" s="14"/>
      <c r="FM320" s="65"/>
      <c r="FN320" s="13"/>
      <c r="FO320" s="14"/>
      <c r="FQ320" s="65"/>
      <c r="FR320" s="13"/>
      <c r="FS320" s="14"/>
      <c r="FU320" s="65"/>
      <c r="FV320" s="13"/>
      <c r="FW320" s="14"/>
      <c r="FY320" s="65"/>
      <c r="FZ320" s="13"/>
      <c r="GA320" s="14"/>
      <c r="GC320" s="65"/>
      <c r="GD320" s="13"/>
      <c r="GE320" s="14"/>
      <c r="GG320" s="65"/>
      <c r="GH320" s="13"/>
      <c r="GI320" s="14"/>
      <c r="GK320" s="65"/>
      <c r="GL320" s="13"/>
      <c r="GM320" s="14"/>
      <c r="GO320" s="65"/>
      <c r="GP320" s="13"/>
      <c r="GQ320" s="14"/>
      <c r="GS320" s="65"/>
      <c r="GT320" s="13"/>
      <c r="GU320" s="14"/>
      <c r="GW320" s="65"/>
      <c r="GX320" s="13"/>
      <c r="GY320" s="14"/>
      <c r="HA320" s="65"/>
      <c r="HB320" s="13"/>
      <c r="HC320" s="14"/>
      <c r="HE320" s="65"/>
      <c r="HF320" s="13"/>
      <c r="HG320" s="14"/>
      <c r="HI320" s="65"/>
      <c r="HJ320" s="13"/>
      <c r="HK320" s="14"/>
      <c r="HM320" s="65"/>
      <c r="HN320" s="13"/>
      <c r="HO320" s="14"/>
      <c r="HQ320" s="65"/>
      <c r="HR320" s="13"/>
      <c r="HS320" s="14"/>
      <c r="HU320" s="65"/>
      <c r="HV320" s="13"/>
      <c r="HW320" s="14"/>
      <c r="HY320" s="65"/>
      <c r="HZ320" s="13"/>
      <c r="IA320" s="14"/>
      <c r="IC320" s="65"/>
      <c r="ID320" s="13"/>
      <c r="IE320" s="14"/>
      <c r="IG320" s="65"/>
      <c r="IH320" s="13"/>
      <c r="II320" s="14"/>
      <c r="IK320" s="65"/>
      <c r="IL320" s="13"/>
      <c r="IM320" s="14"/>
      <c r="IO320" s="65"/>
      <c r="IP320" s="13"/>
      <c r="IQ320" s="14"/>
      <c r="IS320" s="65"/>
      <c r="IT320" s="13"/>
      <c r="IU320" s="14"/>
      <c r="IW320" s="65"/>
      <c r="IX320" s="13"/>
      <c r="IY320" s="14"/>
      <c r="JA320" s="65"/>
      <c r="JB320" s="13"/>
      <c r="JC320" s="14"/>
      <c r="JE320" s="65"/>
      <c r="JF320" s="13"/>
      <c r="JG320" s="14"/>
      <c r="JI320" s="65"/>
      <c r="JJ320" s="13"/>
      <c r="JK320" s="14"/>
      <c r="JM320" s="65"/>
      <c r="JN320" s="13"/>
      <c r="JO320" s="14"/>
      <c r="JQ320" s="65"/>
      <c r="JR320" s="13"/>
      <c r="JS320" s="14"/>
      <c r="JU320" s="65"/>
      <c r="JV320" s="13"/>
      <c r="JW320" s="14"/>
      <c r="JY320" s="65"/>
      <c r="JZ320" s="13"/>
      <c r="KA320" s="14"/>
      <c r="KC320" s="65"/>
      <c r="KD320" s="13"/>
      <c r="KE320" s="14"/>
      <c r="KG320" s="65"/>
      <c r="KH320" s="13"/>
      <c r="KI320" s="14"/>
      <c r="KK320" s="65"/>
      <c r="KL320" s="13"/>
      <c r="KM320" s="14"/>
      <c r="KO320" s="65"/>
      <c r="KP320" s="13"/>
      <c r="KQ320" s="14"/>
      <c r="KS320" s="65"/>
      <c r="KT320" s="13"/>
      <c r="KU320" s="14"/>
      <c r="KW320" s="65"/>
      <c r="KX320" s="13"/>
      <c r="KY320" s="14"/>
      <c r="LA320" s="65"/>
      <c r="LB320" s="13"/>
      <c r="LC320" s="14"/>
      <c r="LE320" s="65"/>
      <c r="LF320" s="13"/>
      <c r="LG320" s="14"/>
      <c r="LI320" s="65"/>
      <c r="LJ320" s="13"/>
      <c r="LK320" s="14"/>
      <c r="LM320" s="65"/>
      <c r="LN320" s="13"/>
      <c r="LO320" s="14"/>
      <c r="LQ320" s="65"/>
      <c r="LR320" s="13"/>
      <c r="LS320" s="14"/>
      <c r="LU320" s="65"/>
      <c r="LV320" s="13"/>
      <c r="LW320" s="14"/>
      <c r="LY320" s="65"/>
      <c r="LZ320" s="13"/>
      <c r="MA320" s="14"/>
      <c r="MC320" s="65"/>
      <c r="MD320" s="13"/>
      <c r="ME320" s="14"/>
      <c r="MG320" s="65"/>
      <c r="MH320" s="13"/>
      <c r="MI320" s="14"/>
      <c r="MK320" s="65"/>
      <c r="ML320" s="13"/>
      <c r="MM320" s="14"/>
      <c r="MO320" s="65"/>
      <c r="MP320" s="13"/>
      <c r="MQ320" s="14"/>
      <c r="MS320" s="65"/>
      <c r="MT320" s="13"/>
      <c r="MU320" s="14"/>
    </row>
    <row r="321" spans="1:359" x14ac:dyDescent="0.25">
      <c r="A321" s="15">
        <f t="shared" ref="A321:A323" si="206">+AH72+AL65+AP62+AT62+AX60+BB60+BF59+BJ55+BN55+BR48+BV39+BZ39+CD38+CH38+CL34+CP32+CT32+CX30+DB25+DF24+DJ24+DN17+DV13+DZ10+ED9</f>
        <v>23287023.108180352</v>
      </c>
      <c r="B321" s="20">
        <v>43015</v>
      </c>
      <c r="T321" s="15"/>
      <c r="U321" s="20"/>
      <c r="DY321" s="65"/>
      <c r="DZ321" s="13"/>
      <c r="EA321" s="14"/>
      <c r="EC321" s="65"/>
      <c r="ED321" s="13"/>
      <c r="EE321" s="14"/>
      <c r="EG321" s="65"/>
      <c r="EH321" s="13"/>
      <c r="EI321" s="14"/>
      <c r="EK321" s="65"/>
      <c r="EL321" s="13"/>
      <c r="EM321" s="14"/>
      <c r="EO321" s="65"/>
      <c r="EP321" s="13"/>
      <c r="EQ321" s="14"/>
      <c r="ES321" s="65"/>
      <c r="ET321" s="13"/>
      <c r="EU321" s="14"/>
      <c r="EW321" s="65"/>
      <c r="EX321" s="13"/>
      <c r="EY321" s="14"/>
      <c r="FA321" s="65"/>
      <c r="FB321" s="13"/>
      <c r="FC321" s="14"/>
      <c r="FE321" s="65"/>
      <c r="FF321" s="13"/>
      <c r="FG321" s="14"/>
      <c r="FI321" s="65"/>
      <c r="FJ321" s="13"/>
      <c r="FK321" s="14"/>
      <c r="FM321" s="65"/>
      <c r="FN321" s="13"/>
      <c r="FO321" s="14"/>
      <c r="FQ321" s="65"/>
      <c r="FR321" s="13"/>
      <c r="FS321" s="14"/>
      <c r="FU321" s="65"/>
      <c r="FV321" s="13"/>
      <c r="FW321" s="14"/>
      <c r="FY321" s="65"/>
      <c r="FZ321" s="13"/>
      <c r="GA321" s="14"/>
      <c r="GC321" s="65"/>
      <c r="GD321" s="13"/>
      <c r="GE321" s="14"/>
      <c r="GG321" s="65"/>
      <c r="GH321" s="13"/>
      <c r="GI321" s="14"/>
      <c r="GK321" s="65"/>
      <c r="GL321" s="13"/>
      <c r="GM321" s="14"/>
      <c r="GO321" s="65"/>
      <c r="GP321" s="13"/>
      <c r="GQ321" s="14"/>
      <c r="GS321" s="65"/>
      <c r="GT321" s="13"/>
      <c r="GU321" s="14"/>
      <c r="GW321" s="65"/>
      <c r="GX321" s="13"/>
      <c r="GY321" s="14"/>
      <c r="HA321" s="65"/>
      <c r="HB321" s="13"/>
      <c r="HC321" s="14"/>
      <c r="HE321" s="65"/>
      <c r="HF321" s="13"/>
      <c r="HG321" s="14"/>
      <c r="HI321" s="65"/>
      <c r="HJ321" s="13"/>
      <c r="HK321" s="14"/>
      <c r="HM321" s="65"/>
      <c r="HN321" s="13"/>
      <c r="HO321" s="14"/>
      <c r="HQ321" s="65"/>
      <c r="HR321" s="13"/>
      <c r="HS321" s="14"/>
      <c r="HU321" s="65"/>
      <c r="HV321" s="13"/>
      <c r="HW321" s="14"/>
      <c r="HY321" s="65"/>
      <c r="HZ321" s="13"/>
      <c r="IA321" s="14"/>
      <c r="IC321" s="65"/>
      <c r="ID321" s="13"/>
      <c r="IE321" s="14"/>
      <c r="IG321" s="65"/>
      <c r="IH321" s="13"/>
      <c r="II321" s="14"/>
      <c r="IK321" s="65"/>
      <c r="IL321" s="13"/>
      <c r="IM321" s="14"/>
      <c r="IO321" s="65"/>
      <c r="IP321" s="13"/>
      <c r="IQ321" s="14"/>
      <c r="IS321" s="65"/>
      <c r="IT321" s="13"/>
      <c r="IU321" s="14"/>
      <c r="IW321" s="65"/>
      <c r="IX321" s="13"/>
      <c r="IY321" s="14"/>
      <c r="JA321" s="65"/>
      <c r="JB321" s="13"/>
      <c r="JC321" s="14"/>
      <c r="JE321" s="65"/>
      <c r="JF321" s="13"/>
      <c r="JG321" s="14"/>
      <c r="JI321" s="65"/>
      <c r="JJ321" s="13"/>
      <c r="JK321" s="14"/>
      <c r="JM321" s="65"/>
      <c r="JN321" s="13"/>
      <c r="JO321" s="14"/>
      <c r="JQ321" s="65"/>
      <c r="JR321" s="13"/>
      <c r="JS321" s="14"/>
      <c r="JU321" s="65"/>
      <c r="JV321" s="13"/>
      <c r="JW321" s="14"/>
      <c r="JY321" s="65"/>
      <c r="JZ321" s="13"/>
      <c r="KA321" s="14"/>
      <c r="KC321" s="65"/>
      <c r="KD321" s="13"/>
      <c r="KE321" s="14"/>
      <c r="KG321" s="65"/>
      <c r="KH321" s="13"/>
      <c r="KI321" s="14"/>
      <c r="KK321" s="65"/>
      <c r="KL321" s="13"/>
      <c r="KM321" s="14"/>
      <c r="KO321" s="65"/>
      <c r="KP321" s="13"/>
      <c r="KQ321" s="14"/>
      <c r="KS321" s="65"/>
      <c r="KT321" s="13"/>
      <c r="KU321" s="14"/>
      <c r="KW321" s="65"/>
      <c r="KX321" s="13"/>
      <c r="KY321" s="14"/>
      <c r="LA321" s="65"/>
      <c r="LB321" s="13"/>
      <c r="LC321" s="14"/>
      <c r="LE321" s="65"/>
      <c r="LF321" s="13"/>
      <c r="LG321" s="14"/>
      <c r="LI321" s="65"/>
      <c r="LJ321" s="13"/>
      <c r="LK321" s="14"/>
      <c r="LM321" s="65"/>
      <c r="LN321" s="13"/>
      <c r="LO321" s="14"/>
      <c r="LQ321" s="65"/>
      <c r="LR321" s="13"/>
      <c r="LS321" s="14"/>
      <c r="LU321" s="65"/>
      <c r="LV321" s="13"/>
      <c r="LW321" s="14"/>
      <c r="LY321" s="65"/>
      <c r="LZ321" s="13"/>
      <c r="MA321" s="14"/>
      <c r="MC321" s="65"/>
      <c r="MD321" s="13"/>
      <c r="ME321" s="14"/>
      <c r="MG321" s="65"/>
      <c r="MH321" s="13"/>
      <c r="MI321" s="14"/>
      <c r="MK321" s="65"/>
      <c r="ML321" s="13"/>
      <c r="MM321" s="14"/>
      <c r="MO321" s="65"/>
      <c r="MP321" s="13"/>
      <c r="MQ321" s="14"/>
      <c r="MS321" s="65"/>
      <c r="MT321" s="13"/>
      <c r="MU321" s="14"/>
    </row>
    <row r="322" spans="1:359" x14ac:dyDescent="0.25">
      <c r="A322" s="15">
        <f t="shared" si="206"/>
        <v>23288228.033424776</v>
      </c>
      <c r="B322" s="20">
        <v>43016</v>
      </c>
      <c r="EO322" s="65"/>
      <c r="EP322" s="13"/>
      <c r="EQ322" s="14"/>
      <c r="ES322" s="65"/>
      <c r="ET322" s="13"/>
      <c r="EU322" s="14"/>
      <c r="EW322" s="65"/>
      <c r="EX322" s="13"/>
      <c r="EY322" s="14"/>
      <c r="FA322" s="65"/>
      <c r="FB322" s="13"/>
      <c r="FC322" s="14"/>
      <c r="FE322" s="65"/>
      <c r="FF322" s="13"/>
      <c r="FG322" s="14"/>
      <c r="FI322" s="65"/>
      <c r="FJ322" s="13"/>
      <c r="FK322" s="14"/>
      <c r="FM322" s="65"/>
      <c r="FN322" s="13"/>
      <c r="FO322" s="14"/>
      <c r="FQ322" s="65"/>
      <c r="FR322" s="13"/>
      <c r="FS322" s="14"/>
      <c r="FU322" s="65"/>
      <c r="FV322" s="13"/>
      <c r="FW322" s="14"/>
      <c r="FY322" s="65"/>
      <c r="FZ322" s="13"/>
      <c r="GA322" s="14"/>
      <c r="GC322" s="65"/>
      <c r="GD322" s="13"/>
      <c r="GE322" s="14"/>
      <c r="GG322" s="65"/>
      <c r="GH322" s="13"/>
      <c r="GI322" s="14"/>
      <c r="GK322" s="65"/>
      <c r="GL322" s="13"/>
      <c r="GM322" s="14"/>
      <c r="GO322" s="65"/>
      <c r="GP322" s="13"/>
      <c r="GQ322" s="14"/>
      <c r="GS322" s="65"/>
      <c r="GT322" s="13"/>
      <c r="GU322" s="14"/>
      <c r="GW322" s="65"/>
      <c r="GX322" s="13"/>
      <c r="GY322" s="14"/>
      <c r="HA322" s="65"/>
      <c r="HB322" s="13"/>
      <c r="HC322" s="14"/>
      <c r="HE322" s="65"/>
      <c r="HF322" s="13"/>
      <c r="HG322" s="14"/>
      <c r="HI322" s="65"/>
      <c r="HJ322" s="13"/>
      <c r="HK322" s="14"/>
      <c r="HM322" s="65"/>
      <c r="HN322" s="13"/>
      <c r="HO322" s="14"/>
      <c r="HQ322" s="65"/>
      <c r="HR322" s="13"/>
      <c r="HS322" s="14"/>
      <c r="HU322" s="65"/>
      <c r="HV322" s="13"/>
      <c r="HW322" s="14"/>
      <c r="HY322" s="65"/>
      <c r="HZ322" s="13"/>
      <c r="IA322" s="14"/>
      <c r="IC322" s="65"/>
      <c r="ID322" s="13"/>
      <c r="IE322" s="14"/>
      <c r="IG322" s="65"/>
      <c r="IH322" s="13"/>
      <c r="II322" s="14"/>
      <c r="IK322" s="65"/>
      <c r="IL322" s="13"/>
      <c r="IM322" s="14"/>
      <c r="IO322" s="65"/>
      <c r="IP322" s="13"/>
      <c r="IQ322" s="14"/>
      <c r="IS322" s="65"/>
      <c r="IT322" s="13"/>
      <c r="IU322" s="14"/>
      <c r="IW322" s="65"/>
      <c r="IX322" s="13"/>
      <c r="IY322" s="14"/>
      <c r="JA322" s="65"/>
      <c r="JB322" s="13"/>
      <c r="JC322" s="14"/>
      <c r="JE322" s="65"/>
      <c r="JF322" s="13"/>
      <c r="JG322" s="14"/>
      <c r="JI322" s="65"/>
      <c r="JJ322" s="13"/>
      <c r="JK322" s="14"/>
      <c r="JM322" s="65"/>
      <c r="JN322" s="13"/>
      <c r="JO322" s="14"/>
      <c r="JQ322" s="65"/>
      <c r="JR322" s="13"/>
      <c r="JS322" s="14"/>
      <c r="JU322" s="65"/>
      <c r="JV322" s="13"/>
      <c r="JW322" s="14"/>
      <c r="JY322" s="65"/>
      <c r="JZ322" s="13"/>
      <c r="KA322" s="14"/>
      <c r="KC322" s="65"/>
      <c r="KD322" s="13"/>
      <c r="KE322" s="14"/>
      <c r="KG322" s="65"/>
      <c r="KH322" s="13"/>
      <c r="KI322" s="14"/>
      <c r="KK322" s="65"/>
      <c r="KL322" s="13"/>
      <c r="KM322" s="14"/>
      <c r="KO322" s="65"/>
      <c r="KP322" s="13"/>
      <c r="KQ322" s="14"/>
      <c r="KS322" s="65"/>
      <c r="KT322" s="13"/>
      <c r="KU322" s="14"/>
      <c r="KW322" s="65"/>
      <c r="KX322" s="13"/>
      <c r="KY322" s="14"/>
      <c r="LA322" s="65"/>
      <c r="LB322" s="13"/>
      <c r="LC322" s="14"/>
      <c r="LE322" s="65"/>
      <c r="LF322" s="13"/>
      <c r="LG322" s="14"/>
      <c r="LI322" s="65"/>
      <c r="LJ322" s="13"/>
      <c r="LK322" s="14"/>
      <c r="LM322" s="65"/>
      <c r="LN322" s="13"/>
      <c r="LO322" s="14"/>
      <c r="LQ322" s="65"/>
      <c r="LR322" s="13"/>
      <c r="LS322" s="14"/>
      <c r="LU322" s="65"/>
      <c r="LV322" s="13"/>
      <c r="LW322" s="14"/>
      <c r="LY322" s="65"/>
      <c r="LZ322" s="13"/>
      <c r="MA322" s="14"/>
      <c r="MC322" s="65"/>
      <c r="MD322" s="13"/>
      <c r="ME322" s="14"/>
      <c r="MG322" s="65"/>
      <c r="MH322" s="13"/>
      <c r="MI322" s="14"/>
      <c r="MK322" s="65"/>
      <c r="ML322" s="13"/>
      <c r="MM322" s="14"/>
      <c r="MO322" s="65"/>
      <c r="MP322" s="13"/>
      <c r="MQ322" s="14"/>
      <c r="MS322" s="65"/>
      <c r="MT322" s="13"/>
      <c r="MU322" s="14"/>
    </row>
    <row r="323" spans="1:359" x14ac:dyDescent="0.25">
      <c r="A323" s="15">
        <f t="shared" si="206"/>
        <v>23289433.087182172</v>
      </c>
      <c r="B323" s="20">
        <v>43017</v>
      </c>
      <c r="EO323" s="65"/>
      <c r="EP323" s="13"/>
      <c r="EQ323" s="14"/>
      <c r="ES323" s="65"/>
      <c r="ET323" s="13"/>
      <c r="EU323" s="14"/>
      <c r="EW323" s="65"/>
      <c r="EX323" s="13"/>
      <c r="EY323" s="14"/>
      <c r="FA323" s="65"/>
      <c r="FB323" s="13"/>
      <c r="FC323" s="14"/>
      <c r="FE323" s="65"/>
      <c r="FF323" s="13"/>
      <c r="FG323" s="14"/>
      <c r="FI323" s="65"/>
      <c r="FJ323" s="13"/>
      <c r="FK323" s="14"/>
      <c r="FM323" s="65"/>
      <c r="FN323" s="13"/>
      <c r="FO323" s="14"/>
      <c r="FQ323" s="65"/>
      <c r="FR323" s="13"/>
      <c r="FS323" s="14"/>
      <c r="FU323" s="65"/>
      <c r="FV323" s="13"/>
      <c r="FW323" s="14"/>
      <c r="FY323" s="65"/>
      <c r="FZ323" s="13"/>
      <c r="GA323" s="14"/>
      <c r="GC323" s="65"/>
      <c r="GD323" s="13"/>
      <c r="GE323" s="14"/>
      <c r="GG323" s="65"/>
      <c r="GH323" s="13"/>
      <c r="GI323" s="14"/>
      <c r="GK323" s="65"/>
      <c r="GL323" s="13"/>
      <c r="GM323" s="14"/>
      <c r="GO323" s="65"/>
      <c r="GP323" s="13"/>
      <c r="GQ323" s="14"/>
      <c r="GS323" s="65"/>
      <c r="GT323" s="13"/>
      <c r="GU323" s="14"/>
      <c r="GW323" s="65"/>
      <c r="GX323" s="13"/>
      <c r="GY323" s="14"/>
      <c r="HA323" s="65"/>
      <c r="HB323" s="13"/>
      <c r="HC323" s="14"/>
      <c r="HE323" s="65"/>
      <c r="HF323" s="13"/>
      <c r="HG323" s="14"/>
      <c r="HI323" s="65"/>
      <c r="HJ323" s="13"/>
      <c r="HK323" s="14"/>
      <c r="HM323" s="65"/>
      <c r="HN323" s="13"/>
      <c r="HO323" s="14"/>
      <c r="HQ323" s="65"/>
      <c r="HR323" s="13"/>
      <c r="HS323" s="14"/>
      <c r="HU323" s="65"/>
      <c r="HV323" s="13"/>
      <c r="HW323" s="14"/>
      <c r="HY323" s="65"/>
      <c r="HZ323" s="13"/>
      <c r="IA323" s="14"/>
      <c r="IC323" s="65"/>
      <c r="ID323" s="13"/>
      <c r="IE323" s="14"/>
      <c r="IG323" s="65"/>
      <c r="IH323" s="13"/>
      <c r="II323" s="14"/>
      <c r="IK323" s="65"/>
      <c r="IL323" s="13"/>
      <c r="IM323" s="14"/>
      <c r="IO323" s="65"/>
      <c r="IP323" s="13"/>
      <c r="IQ323" s="14"/>
      <c r="IS323" s="65"/>
      <c r="IT323" s="13"/>
      <c r="IU323" s="14"/>
      <c r="IW323" s="65"/>
      <c r="IX323" s="13"/>
      <c r="IY323" s="14"/>
      <c r="JA323" s="65"/>
      <c r="JB323" s="13"/>
      <c r="JC323" s="14"/>
      <c r="JE323" s="65"/>
      <c r="JF323" s="13"/>
      <c r="JG323" s="14"/>
      <c r="JI323" s="65"/>
      <c r="JJ323" s="13"/>
      <c r="JK323" s="14"/>
      <c r="JM323" s="65"/>
      <c r="JN323" s="13"/>
      <c r="JO323" s="14"/>
      <c r="JQ323" s="65"/>
      <c r="JR323" s="13"/>
      <c r="JS323" s="14"/>
      <c r="JU323" s="65"/>
      <c r="JV323" s="13"/>
      <c r="JW323" s="14"/>
      <c r="JY323" s="65"/>
      <c r="JZ323" s="13"/>
      <c r="KA323" s="14"/>
      <c r="KC323" s="65"/>
      <c r="KD323" s="13"/>
      <c r="KE323" s="14"/>
      <c r="KG323" s="65"/>
      <c r="KH323" s="13"/>
      <c r="KI323" s="14"/>
      <c r="KK323" s="65"/>
      <c r="KL323" s="13"/>
      <c r="KM323" s="14"/>
      <c r="KO323" s="65"/>
      <c r="KP323" s="13"/>
      <c r="KQ323" s="14"/>
      <c r="KS323" s="65"/>
      <c r="KT323" s="13"/>
      <c r="KU323" s="14"/>
      <c r="KW323" s="65"/>
      <c r="KX323" s="13"/>
      <c r="KY323" s="14"/>
      <c r="LA323" s="65"/>
      <c r="LB323" s="13"/>
      <c r="LC323" s="14"/>
      <c r="LE323" s="65"/>
      <c r="LF323" s="13"/>
      <c r="LG323" s="14"/>
      <c r="LI323" s="65"/>
      <c r="LJ323" s="13"/>
      <c r="LK323" s="14"/>
      <c r="LM323" s="65"/>
      <c r="LN323" s="13"/>
      <c r="LO323" s="14"/>
      <c r="LQ323" s="65"/>
      <c r="LR323" s="13"/>
      <c r="LS323" s="14"/>
      <c r="LU323" s="65"/>
      <c r="LV323" s="13"/>
      <c r="LW323" s="14"/>
      <c r="LY323" s="65"/>
      <c r="LZ323" s="13"/>
      <c r="MA323" s="14"/>
      <c r="MC323" s="65"/>
      <c r="MD323" s="13"/>
      <c r="ME323" s="14"/>
      <c r="MG323" s="65"/>
      <c r="MH323" s="13"/>
      <c r="MI323" s="14"/>
      <c r="MK323" s="65"/>
      <c r="ML323" s="13"/>
      <c r="MM323" s="14"/>
      <c r="MO323" s="65"/>
      <c r="MP323" s="13"/>
      <c r="MQ323" s="14"/>
      <c r="MS323" s="65"/>
      <c r="MT323" s="13"/>
      <c r="MU323" s="14"/>
    </row>
    <row r="324" spans="1:359" x14ac:dyDescent="0.25">
      <c r="A324" s="15">
        <f>+AH75+AL68+AP65+AT65+AX63+BB63+BF62+BJ58+BN58+BR51+BV42+BZ42+CD41+CH41+CL37+CP35+CT35+CX33+DB28+DF27+DJ27+DN20+DV16+DZ13+ED12</f>
        <v>23290638.269473813</v>
      </c>
      <c r="B324" s="20">
        <v>43018</v>
      </c>
      <c r="EO324" s="65"/>
      <c r="EP324" s="13"/>
      <c r="EQ324" s="14"/>
      <c r="ES324" s="65"/>
      <c r="ET324" s="13"/>
      <c r="EU324" s="14"/>
      <c r="EW324" s="65"/>
      <c r="EX324" s="13"/>
      <c r="EY324" s="14"/>
      <c r="FA324" s="65"/>
      <c r="FB324" s="13"/>
      <c r="FC324" s="14"/>
      <c r="FE324" s="65"/>
      <c r="FF324" s="13"/>
      <c r="FG324" s="14"/>
      <c r="FI324" s="65"/>
      <c r="FJ324" s="13"/>
      <c r="FK324" s="14"/>
      <c r="FM324" s="65"/>
      <c r="FN324" s="13"/>
      <c r="FO324" s="14"/>
      <c r="FQ324" s="65"/>
      <c r="FR324" s="13"/>
      <c r="FS324" s="14"/>
      <c r="FU324" s="65"/>
      <c r="FV324" s="13"/>
      <c r="FW324" s="14"/>
      <c r="FY324" s="65"/>
      <c r="FZ324" s="13"/>
      <c r="GA324" s="14"/>
      <c r="GC324" s="65"/>
      <c r="GD324" s="13"/>
      <c r="GE324" s="14"/>
      <c r="GG324" s="65"/>
      <c r="GH324" s="13"/>
      <c r="GI324" s="14"/>
      <c r="GK324" s="65"/>
      <c r="GL324" s="13"/>
      <c r="GM324" s="14"/>
      <c r="GO324" s="65"/>
      <c r="GP324" s="13"/>
      <c r="GQ324" s="14"/>
      <c r="GS324" s="65"/>
      <c r="GT324" s="13"/>
      <c r="GU324" s="14"/>
      <c r="GW324" s="65"/>
      <c r="GX324" s="13"/>
      <c r="GY324" s="14"/>
      <c r="HA324" s="65"/>
      <c r="HB324" s="13"/>
      <c r="HC324" s="14"/>
      <c r="HE324" s="65"/>
      <c r="HF324" s="13"/>
      <c r="HG324" s="14"/>
      <c r="HI324" s="65"/>
      <c r="HJ324" s="13"/>
      <c r="HK324" s="14"/>
      <c r="HM324" s="65"/>
      <c r="HN324" s="13"/>
      <c r="HO324" s="14"/>
      <c r="HQ324" s="65"/>
      <c r="HR324" s="13"/>
      <c r="HS324" s="14"/>
      <c r="HU324" s="65"/>
      <c r="HV324" s="13"/>
      <c r="HW324" s="14"/>
      <c r="HY324" s="65"/>
      <c r="HZ324" s="13"/>
      <c r="IA324" s="14"/>
      <c r="IC324" s="65"/>
      <c r="ID324" s="13"/>
      <c r="IE324" s="14"/>
      <c r="IG324" s="65"/>
      <c r="IH324" s="13"/>
      <c r="II324" s="14"/>
      <c r="IK324" s="65"/>
      <c r="IL324" s="13"/>
      <c r="IM324" s="14"/>
      <c r="IO324" s="65"/>
      <c r="IP324" s="13"/>
      <c r="IQ324" s="14"/>
      <c r="IS324" s="65"/>
      <c r="IT324" s="13"/>
      <c r="IU324" s="14"/>
      <c r="IW324" s="65"/>
      <c r="IX324" s="13"/>
      <c r="IY324" s="14"/>
      <c r="JA324" s="65"/>
      <c r="JB324" s="13"/>
      <c r="JC324" s="14"/>
      <c r="JE324" s="65"/>
      <c r="JF324" s="13"/>
      <c r="JG324" s="14"/>
      <c r="JI324" s="65"/>
      <c r="JJ324" s="13"/>
      <c r="JK324" s="14"/>
      <c r="JM324" s="65"/>
      <c r="JN324" s="13"/>
      <c r="JO324" s="14"/>
      <c r="JQ324" s="65"/>
      <c r="JR324" s="13"/>
      <c r="JS324" s="14"/>
      <c r="JU324" s="65"/>
      <c r="JV324" s="13"/>
      <c r="JW324" s="14"/>
      <c r="JY324" s="65"/>
      <c r="JZ324" s="13"/>
      <c r="KA324" s="14"/>
      <c r="KC324" s="65"/>
      <c r="KD324" s="13"/>
      <c r="KE324" s="14"/>
      <c r="KG324" s="65"/>
      <c r="KH324" s="13"/>
      <c r="KI324" s="14"/>
      <c r="KK324" s="65"/>
      <c r="KL324" s="13"/>
      <c r="KM324" s="14"/>
      <c r="KO324" s="65"/>
      <c r="KP324" s="13"/>
      <c r="KQ324" s="14"/>
      <c r="KS324" s="65"/>
      <c r="KT324" s="13"/>
      <c r="KU324" s="14"/>
      <c r="KW324" s="65"/>
      <c r="KX324" s="13"/>
      <c r="KY324" s="14"/>
      <c r="LA324" s="65"/>
      <c r="LB324" s="13"/>
      <c r="LC324" s="14"/>
      <c r="LE324" s="65"/>
      <c r="LF324" s="13"/>
      <c r="LG324" s="14"/>
      <c r="LI324" s="65"/>
      <c r="LJ324" s="13"/>
      <c r="LK324" s="14"/>
      <c r="LM324" s="65"/>
      <c r="LN324" s="13"/>
      <c r="LO324" s="14"/>
      <c r="LQ324" s="65"/>
      <c r="LR324" s="13"/>
      <c r="LS324" s="14"/>
      <c r="LU324" s="65"/>
      <c r="LV324" s="13"/>
      <c r="LW324" s="14"/>
      <c r="LY324" s="65"/>
      <c r="LZ324" s="13"/>
      <c r="MA324" s="14"/>
      <c r="MC324" s="65"/>
      <c r="MD324" s="13"/>
      <c r="ME324" s="14"/>
      <c r="MG324" s="65"/>
      <c r="MH324" s="13"/>
      <c r="MI324" s="14"/>
      <c r="MK324" s="65"/>
      <c r="ML324" s="13"/>
      <c r="MM324" s="14"/>
      <c r="MO324" s="65"/>
      <c r="MP324" s="13"/>
      <c r="MQ324" s="14"/>
      <c r="MS324" s="65"/>
      <c r="MT324" s="13"/>
      <c r="MU324" s="14"/>
    </row>
    <row r="325" spans="1:359" x14ac:dyDescent="0.25">
      <c r="A325" s="15">
        <f>+AH76+AL69+AP66+AT66+AX64+BB64+BF63+BJ59+BN59+BR52+BV43+BZ43+CD42+CH42+CL38+CP36+CT36+CX34+DB29+DF28+DJ28+DN21+DV17+DZ14+ED13+EH8</f>
        <v>23258161.798722822</v>
      </c>
      <c r="B325" s="20">
        <v>43019</v>
      </c>
      <c r="EO325" s="65"/>
      <c r="EP325" s="13"/>
      <c r="EQ325" s="14"/>
      <c r="ES325" s="65"/>
      <c r="ET325" s="13"/>
      <c r="EU325" s="14"/>
      <c r="EW325" s="65"/>
      <c r="EX325" s="13"/>
      <c r="EY325" s="14"/>
      <c r="FA325" s="65"/>
      <c r="FB325" s="13"/>
      <c r="FC325" s="14"/>
      <c r="FE325" s="65"/>
      <c r="FF325" s="13"/>
      <c r="FG325" s="14"/>
      <c r="FI325" s="65"/>
      <c r="FJ325" s="13"/>
      <c r="FK325" s="14"/>
      <c r="FM325" s="65"/>
      <c r="FN325" s="13"/>
      <c r="FO325" s="14"/>
      <c r="FQ325" s="65"/>
      <c r="FR325" s="13"/>
      <c r="FS325" s="14"/>
      <c r="FU325" s="65"/>
      <c r="FV325" s="13"/>
      <c r="FW325" s="14"/>
      <c r="FY325" s="65"/>
      <c r="FZ325" s="13"/>
      <c r="GA325" s="14"/>
      <c r="GC325" s="65"/>
      <c r="GD325" s="13"/>
      <c r="GE325" s="14"/>
      <c r="GG325" s="65"/>
      <c r="GH325" s="13"/>
      <c r="GI325" s="14"/>
      <c r="GK325" s="65"/>
      <c r="GL325" s="13"/>
      <c r="GM325" s="14"/>
      <c r="GO325" s="65"/>
      <c r="GP325" s="13"/>
      <c r="GQ325" s="14"/>
      <c r="GS325" s="65"/>
      <c r="GT325" s="13"/>
      <c r="GU325" s="14"/>
      <c r="GW325" s="65"/>
      <c r="GX325" s="13"/>
      <c r="GY325" s="14"/>
      <c r="HA325" s="65"/>
      <c r="HB325" s="13"/>
      <c r="HC325" s="14"/>
      <c r="HE325" s="65"/>
      <c r="HF325" s="13"/>
      <c r="HG325" s="14"/>
      <c r="HI325" s="65"/>
      <c r="HJ325" s="13"/>
      <c r="HK325" s="14"/>
      <c r="HM325" s="65"/>
      <c r="HN325" s="13"/>
      <c r="HO325" s="14"/>
      <c r="HQ325" s="65"/>
      <c r="HR325" s="13"/>
      <c r="HS325" s="14"/>
      <c r="HU325" s="65"/>
      <c r="HV325" s="13"/>
      <c r="HW325" s="14"/>
      <c r="HY325" s="65"/>
      <c r="HZ325" s="13"/>
      <c r="IA325" s="14"/>
      <c r="IC325" s="65"/>
      <c r="ID325" s="13"/>
      <c r="IE325" s="14"/>
      <c r="IG325" s="65"/>
      <c r="IH325" s="13"/>
      <c r="II325" s="14"/>
      <c r="IK325" s="65"/>
      <c r="IL325" s="13"/>
      <c r="IM325" s="14"/>
      <c r="IO325" s="65"/>
      <c r="IP325" s="13"/>
      <c r="IQ325" s="14"/>
      <c r="IS325" s="65"/>
      <c r="IT325" s="13"/>
      <c r="IU325" s="14"/>
      <c r="IW325" s="65"/>
      <c r="IX325" s="13"/>
      <c r="IY325" s="14"/>
      <c r="JA325" s="65"/>
      <c r="JB325" s="13"/>
      <c r="JC325" s="14"/>
      <c r="JE325" s="65"/>
      <c r="JF325" s="13"/>
      <c r="JG325" s="14"/>
      <c r="JI325" s="65"/>
      <c r="JJ325" s="13"/>
      <c r="JK325" s="14"/>
      <c r="JM325" s="65"/>
      <c r="JN325" s="13"/>
      <c r="JO325" s="14"/>
      <c r="JQ325" s="65"/>
      <c r="JR325" s="13"/>
      <c r="JS325" s="14"/>
      <c r="JU325" s="65"/>
      <c r="JV325" s="13"/>
      <c r="JW325" s="14"/>
      <c r="JY325" s="65"/>
      <c r="JZ325" s="13"/>
      <c r="KA325" s="14"/>
      <c r="KC325" s="65"/>
      <c r="KD325" s="13"/>
      <c r="KE325" s="14"/>
      <c r="KG325" s="65"/>
      <c r="KH325" s="13"/>
      <c r="KI325" s="14"/>
      <c r="KK325" s="65"/>
      <c r="KL325" s="13"/>
      <c r="KM325" s="14"/>
      <c r="KO325" s="65"/>
      <c r="KP325" s="13"/>
      <c r="KQ325" s="14"/>
      <c r="KS325" s="65"/>
      <c r="KT325" s="13"/>
      <c r="KU325" s="14"/>
      <c r="KW325" s="65"/>
      <c r="KX325" s="13"/>
      <c r="KY325" s="14"/>
      <c r="LA325" s="65"/>
      <c r="LB325" s="13"/>
      <c r="LC325" s="14"/>
      <c r="LE325" s="65"/>
      <c r="LF325" s="13"/>
      <c r="LG325" s="14"/>
      <c r="LI325" s="65"/>
      <c r="LJ325" s="13"/>
      <c r="LK325" s="14"/>
      <c r="LM325" s="65"/>
      <c r="LN325" s="13"/>
      <c r="LO325" s="14"/>
      <c r="LQ325" s="65"/>
      <c r="LR325" s="13"/>
      <c r="LS325" s="14"/>
      <c r="LU325" s="65"/>
      <c r="LV325" s="13"/>
      <c r="LW325" s="14"/>
      <c r="LY325" s="65"/>
      <c r="LZ325" s="13"/>
      <c r="MA325" s="14"/>
      <c r="MC325" s="65"/>
      <c r="MD325" s="13"/>
      <c r="ME325" s="14"/>
      <c r="MG325" s="65"/>
      <c r="MH325" s="13"/>
      <c r="MI325" s="14"/>
      <c r="MK325" s="65"/>
      <c r="ML325" s="13"/>
      <c r="MM325" s="14"/>
      <c r="MO325" s="65"/>
      <c r="MP325" s="13"/>
      <c r="MQ325" s="14"/>
      <c r="MS325" s="65"/>
      <c r="MT325" s="13"/>
      <c r="MU325" s="14"/>
    </row>
    <row r="326" spans="1:359" x14ac:dyDescent="0.25">
      <c r="A326" s="15">
        <f t="shared" ref="A326:A329" si="207">+AH77+AL70+AP67+AT67+AX65+BB65+BF64+BJ60+BN60+BR53+BV44+BZ44+CD43+CH43+CL39+CP37+CT37+CX35+DB30+DF29+DJ29+DN22+DV18+DZ15+ED14+EH9</f>
        <v>21392171.539519925</v>
      </c>
      <c r="B326" s="20">
        <v>43020</v>
      </c>
      <c r="JA326" s="65"/>
      <c r="JB326" s="13"/>
      <c r="JC326" s="14"/>
      <c r="JE326" s="65"/>
      <c r="JF326" s="13"/>
      <c r="JG326" s="14"/>
      <c r="JI326" s="65"/>
      <c r="JJ326" s="13"/>
      <c r="JK326" s="14"/>
      <c r="JM326" s="65"/>
      <c r="JN326" s="13"/>
      <c r="JO326" s="14"/>
      <c r="JQ326" s="65"/>
      <c r="JR326" s="13"/>
      <c r="JS326" s="14"/>
      <c r="JU326" s="65"/>
      <c r="JV326" s="13"/>
      <c r="JW326" s="14"/>
      <c r="JY326" s="65"/>
      <c r="JZ326" s="13"/>
      <c r="KA326" s="14"/>
      <c r="KC326" s="65"/>
      <c r="KD326" s="13"/>
      <c r="KE326" s="14"/>
      <c r="KG326" s="65"/>
      <c r="KH326" s="13"/>
      <c r="KI326" s="14"/>
      <c r="KK326" s="65"/>
      <c r="KL326" s="13"/>
      <c r="KM326" s="14"/>
      <c r="KO326" s="65"/>
      <c r="KP326" s="13"/>
      <c r="KQ326" s="14"/>
      <c r="KS326" s="65"/>
      <c r="KT326" s="13"/>
      <c r="KU326" s="14"/>
      <c r="KW326" s="65"/>
      <c r="KX326" s="13"/>
      <c r="KY326" s="14"/>
      <c r="LA326" s="65"/>
      <c r="LB326" s="13"/>
      <c r="LC326" s="14"/>
      <c r="LE326" s="65"/>
      <c r="LF326" s="13"/>
      <c r="LG326" s="14"/>
      <c r="LI326" s="65"/>
      <c r="LJ326" s="13"/>
      <c r="LK326" s="14"/>
      <c r="LM326" s="65"/>
      <c r="LN326" s="13"/>
      <c r="LO326" s="14"/>
      <c r="LQ326" s="65"/>
      <c r="LR326" s="13"/>
      <c r="LS326" s="14"/>
      <c r="LU326" s="65"/>
      <c r="LV326" s="13"/>
      <c r="LW326" s="14"/>
      <c r="LY326" s="65"/>
      <c r="LZ326" s="13"/>
      <c r="MA326" s="14"/>
      <c r="MC326" s="65"/>
      <c r="MD326" s="13"/>
      <c r="ME326" s="14"/>
      <c r="MG326" s="65"/>
      <c r="MH326" s="13"/>
      <c r="MI326" s="14"/>
      <c r="MK326" s="65"/>
      <c r="ML326" s="13"/>
      <c r="MM326" s="14"/>
      <c r="MO326" s="65"/>
      <c r="MP326" s="13"/>
      <c r="MQ326" s="14"/>
      <c r="MS326" s="65"/>
      <c r="MT326" s="13"/>
      <c r="MU326" s="14"/>
    </row>
    <row r="327" spans="1:359" x14ac:dyDescent="0.25">
      <c r="A327" s="15">
        <f t="shared" si="207"/>
        <v>21393292.288140841</v>
      </c>
      <c r="B327" s="20">
        <v>43021</v>
      </c>
      <c r="LA327" s="65"/>
      <c r="LE327" s="65"/>
      <c r="LI327" s="65"/>
      <c r="LM327" s="65"/>
      <c r="LQ327" s="65"/>
      <c r="LU327" s="65"/>
      <c r="LY327" s="65"/>
      <c r="MC327" s="65"/>
      <c r="MG327" s="65"/>
      <c r="MK327" s="65"/>
      <c r="MO327" s="65"/>
      <c r="MS327" s="65"/>
    </row>
    <row r="328" spans="1:359" x14ac:dyDescent="0.25">
      <c r="A328" s="15">
        <f t="shared" si="207"/>
        <v>21394413.157795113</v>
      </c>
      <c r="B328" s="20">
        <v>43022</v>
      </c>
      <c r="LA328" s="65"/>
      <c r="LE328" s="65"/>
      <c r="LI328" s="65"/>
      <c r="LM328" s="65"/>
      <c r="LQ328" s="65"/>
      <c r="LU328" s="65"/>
      <c r="LY328" s="65"/>
      <c r="MC328" s="65"/>
      <c r="MG328" s="65"/>
      <c r="MK328" s="65"/>
      <c r="MO328" s="65"/>
      <c r="MS328" s="65"/>
    </row>
    <row r="329" spans="1:359" x14ac:dyDescent="0.25">
      <c r="A329" s="15">
        <f t="shared" si="207"/>
        <v>21395534.148503028</v>
      </c>
      <c r="B329" s="20">
        <v>43023</v>
      </c>
      <c r="LA329" s="65"/>
      <c r="LE329" s="65"/>
      <c r="LI329" s="65"/>
      <c r="LM329" s="65"/>
      <c r="LQ329" s="65"/>
      <c r="LU329" s="65"/>
      <c r="LY329" s="65"/>
      <c r="MC329" s="65"/>
      <c r="MG329" s="65"/>
      <c r="MK329" s="65"/>
      <c r="MO329" s="65"/>
      <c r="MS329" s="65"/>
    </row>
    <row r="330" spans="1:359" x14ac:dyDescent="0.25">
      <c r="A330" s="15">
        <f>+AH81+AL74+AP71+AT71+AX69+BB69+BF68+BJ64+BN64+BR57+BV48+BZ48+CD47+CH47+CL43+CP41+CT41+CX39+DB34+DF33+DJ33+DN26+DV22+DZ19+ED18+EH13+EL8</f>
        <v>22364863.29028485</v>
      </c>
      <c r="B330" s="20">
        <v>43024</v>
      </c>
      <c r="LA330" s="65"/>
      <c r="LE330" s="65"/>
      <c r="LI330" s="65"/>
      <c r="LM330" s="65"/>
      <c r="LQ330" s="65"/>
      <c r="LU330" s="65"/>
      <c r="LY330" s="65"/>
      <c r="MC330" s="65"/>
      <c r="MG330" s="65"/>
      <c r="MK330" s="65"/>
      <c r="MO330" s="65"/>
      <c r="MS330" s="65"/>
    </row>
    <row r="331" spans="1:359" x14ac:dyDescent="0.25">
      <c r="A331" s="15">
        <f>+AH82+AL75+AP72+AT72+AX70+BB70+BF69+BJ65+BN65+BR58+BV49+BZ49+CD48+CH48+CL44+CP42+CT42+CX40+DB35+DF34+DJ34+DN27+DV23+DZ20+ED19+EH14+EL9+EP8+ET8</f>
        <v>25245282.286838315</v>
      </c>
      <c r="B331" s="20">
        <v>43025</v>
      </c>
      <c r="LA331" s="65"/>
      <c r="LE331" s="65"/>
      <c r="LI331" s="65"/>
      <c r="LM331" s="65"/>
      <c r="LQ331" s="65"/>
      <c r="LU331" s="65"/>
      <c r="LY331" s="65"/>
      <c r="MC331" s="65"/>
      <c r="MG331" s="65"/>
      <c r="MK331" s="65"/>
      <c r="MO331" s="65"/>
      <c r="MS331" s="65"/>
    </row>
    <row r="332" spans="1:359" x14ac:dyDescent="0.25">
      <c r="A332" s="15">
        <f>+AH83+AL76+AP73+AT73+AX71+BB71+BF70+BJ66+BN66+BR59+BV50+BZ50+CD49+CH49+CL45+CP43+CT43+CX41+DB36+DF35+DJ35+DN28+DV24+DZ21+ED20+EH15+EL10+EP9+ET9+EX8</f>
        <v>24038158.690793</v>
      </c>
      <c r="B332" s="20">
        <v>43026</v>
      </c>
      <c r="LA332" s="65"/>
      <c r="LE332" s="65"/>
      <c r="LI332" s="65"/>
      <c r="LM332" s="65"/>
      <c r="LQ332" s="65"/>
      <c r="LU332" s="65"/>
      <c r="LY332" s="65"/>
      <c r="MC332" s="65"/>
      <c r="MG332" s="65"/>
      <c r="MK332" s="65"/>
      <c r="MO332" s="65"/>
      <c r="MS332" s="65"/>
    </row>
    <row r="333" spans="1:359" x14ac:dyDescent="0.25">
      <c r="A333" s="15">
        <f t="shared" ref="A333:A337" si="208">+AH84+AL77+AP74+AT74+AX72+BB72+BF71+BJ67+BN67+BR60+BV51+BZ51+CD50+CH50+CL46+CP44+CT44+CX42+DB37+DF36+DJ36+DN29+DV25+DZ22+ED21+EH16+EL11+EP10+ET10+EX9</f>
        <v>23065004.449841894</v>
      </c>
      <c r="B333" s="20">
        <v>43027</v>
      </c>
      <c r="LA333" s="65"/>
      <c r="LE333" s="65"/>
      <c r="LI333" s="65"/>
      <c r="LM333" s="65"/>
      <c r="LQ333" s="65"/>
      <c r="LU333" s="65"/>
      <c r="LY333" s="65"/>
      <c r="MC333" s="65"/>
      <c r="MG333" s="65"/>
      <c r="MK333" s="65"/>
      <c r="MO333" s="65"/>
      <c r="MS333" s="65"/>
    </row>
    <row r="334" spans="1:359" x14ac:dyDescent="0.25">
      <c r="A334" s="15">
        <f t="shared" si="208"/>
        <v>23066228.665691525</v>
      </c>
      <c r="B334" s="20">
        <v>43028</v>
      </c>
      <c r="LA334" s="65"/>
      <c r="LE334" s="65"/>
      <c r="LI334" s="65"/>
      <c r="LM334" s="65"/>
      <c r="LQ334" s="65"/>
      <c r="LU334" s="65"/>
      <c r="LY334" s="65"/>
      <c r="MC334" s="65"/>
      <c r="MG334" s="65"/>
      <c r="MK334" s="65"/>
      <c r="MO334" s="65"/>
      <c r="MS334" s="65"/>
    </row>
    <row r="335" spans="1:359" x14ac:dyDescent="0.25">
      <c r="A335" s="15">
        <f t="shared" si="208"/>
        <v>23067453.015585922</v>
      </c>
      <c r="B335" s="20">
        <v>43029</v>
      </c>
      <c r="LA335" s="65"/>
      <c r="LE335" s="65"/>
      <c r="LI335" s="65"/>
      <c r="LM335" s="65"/>
      <c r="LQ335" s="65"/>
      <c r="LU335" s="65"/>
      <c r="LY335" s="65"/>
      <c r="MC335" s="65"/>
      <c r="MG335" s="65"/>
      <c r="MK335" s="65"/>
      <c r="MO335" s="65"/>
      <c r="MS335" s="65"/>
    </row>
    <row r="336" spans="1:359" x14ac:dyDescent="0.25">
      <c r="A336" s="15">
        <f t="shared" si="208"/>
        <v>23068677.499547817</v>
      </c>
      <c r="B336" s="20">
        <v>43030</v>
      </c>
      <c r="LA336" s="65"/>
      <c r="LE336" s="65"/>
      <c r="LI336" s="65"/>
      <c r="LM336" s="65"/>
      <c r="LQ336" s="65"/>
      <c r="LU336" s="65"/>
      <c r="LY336" s="65"/>
      <c r="MC336" s="65"/>
      <c r="MG336" s="65"/>
      <c r="MK336" s="65"/>
      <c r="MO336" s="65"/>
      <c r="MS336" s="65"/>
    </row>
    <row r="337" spans="1:357" x14ac:dyDescent="0.25">
      <c r="A337" s="15">
        <f t="shared" si="208"/>
        <v>23069902.117599942</v>
      </c>
      <c r="B337" s="20">
        <v>43031</v>
      </c>
      <c r="LA337" s="65"/>
      <c r="LE337" s="65"/>
      <c r="LI337" s="65"/>
      <c r="LM337" s="65"/>
      <c r="LQ337" s="65"/>
      <c r="LU337" s="65"/>
      <c r="LY337" s="65"/>
      <c r="MC337" s="65"/>
      <c r="MG337" s="65"/>
      <c r="MK337" s="65"/>
      <c r="MO337" s="65"/>
      <c r="MS337" s="65"/>
    </row>
    <row r="338" spans="1:357" x14ac:dyDescent="0.25">
      <c r="A338" s="15">
        <f>+AH89+AL82+AP79+AT79+AX77+BB77+BF76+BJ72+BN72+BR65+BV56+BZ56+CD55+CH55+CL51+CP49+CT49+CX47+DB42+DF41+DJ41+DN34+DV30+DZ27+ED26+EH21+EL16+EP15+ET15+EX14+FB8+FF8</f>
        <v>23173978.5166765</v>
      </c>
      <c r="B338" s="20">
        <v>43032</v>
      </c>
      <c r="LA338" s="65"/>
      <c r="LE338" s="65"/>
      <c r="LI338" s="65"/>
      <c r="LM338" s="65"/>
      <c r="LQ338" s="65"/>
      <c r="LU338" s="65"/>
      <c r="LY338" s="65"/>
      <c r="MC338" s="65"/>
      <c r="MG338" s="65"/>
      <c r="MK338" s="65"/>
      <c r="MO338" s="65"/>
      <c r="MS338" s="65"/>
    </row>
    <row r="339" spans="1:357" x14ac:dyDescent="0.25">
      <c r="A339" s="15">
        <f t="shared" ref="A339" si="209">+AH90+AL83+AP80+AT80+AX78+BB78+BF77+BJ73+BN73+BR66+BV57+BZ57+CD56+CH56+CL52+CP50+CT50+CX48+DB43+DF42+DJ42+DN35+DV31+DZ28+ED27+EH22+EL17+EP16+ET16+EX15+FB9+FF9</f>
        <v>23175153.002952699</v>
      </c>
      <c r="B339" s="20">
        <v>43033</v>
      </c>
      <c r="LA339" s="65"/>
      <c r="LE339" s="65"/>
      <c r="LI339" s="65"/>
      <c r="LM339" s="65"/>
      <c r="LQ339" s="65"/>
      <c r="LU339" s="65"/>
      <c r="LY339" s="65"/>
      <c r="MC339" s="65"/>
      <c r="MG339" s="65"/>
      <c r="MK339" s="65"/>
      <c r="MO339" s="65"/>
      <c r="MS339" s="65"/>
    </row>
    <row r="340" spans="1:357" x14ac:dyDescent="0.25">
      <c r="A340" s="15">
        <f>+AH91+AL84+AP81+AT81+AX79+BB79+BF78+BJ74+BN74+BR67+BV58+BZ58+CD57+CH57+CL53+CP51+CT51+CX49+DB44+DF43+DJ43+DN36+DV32+DZ29+ED28+EH23+EL18+EP17+ET17+EX16+FB10+FF10+FJ8</f>
        <v>24914683.569799118</v>
      </c>
      <c r="B340" s="20">
        <v>43034</v>
      </c>
      <c r="LA340" s="65"/>
      <c r="LE340" s="65"/>
      <c r="LI340" s="65"/>
      <c r="LM340" s="65"/>
      <c r="LQ340" s="65"/>
      <c r="LU340" s="65"/>
      <c r="LY340" s="65"/>
      <c r="MC340" s="65"/>
      <c r="MG340" s="65"/>
      <c r="MK340" s="65"/>
      <c r="MO340" s="65"/>
      <c r="MS340" s="65"/>
    </row>
    <row r="341" spans="1:357" x14ac:dyDescent="0.25">
      <c r="A341" s="15">
        <f t="shared" ref="A341:A344" si="210">+AH92+AL85+AP82+AT82+AX80+BB80+BF79+BJ75+BN75+BR68+BV59+BZ59+CD58+CH58+CL54+CP52+CT52+CX50+DB45+DF44+DJ44+DN37+DV33+DZ30+ED29+EH24+EL19+EP18+ET18+EX17+FB11+FF11+FJ9</f>
        <v>24915964.222788788</v>
      </c>
      <c r="B341" s="20">
        <v>43035</v>
      </c>
      <c r="LA341" s="65"/>
      <c r="LE341" s="65"/>
      <c r="LI341" s="65"/>
      <c r="LM341" s="65"/>
      <c r="LQ341" s="65"/>
      <c r="LU341" s="65"/>
      <c r="LY341" s="65"/>
      <c r="MC341" s="65"/>
      <c r="MG341" s="65"/>
      <c r="MK341" s="65"/>
      <c r="MO341" s="65"/>
      <c r="MS341" s="65"/>
    </row>
    <row r="342" spans="1:357" x14ac:dyDescent="0.25">
      <c r="A342" s="15">
        <f t="shared" si="210"/>
        <v>24917245.009296052</v>
      </c>
      <c r="B342" s="20">
        <v>43036</v>
      </c>
      <c r="LA342" s="65"/>
      <c r="LE342" s="65"/>
      <c r="LI342" s="65"/>
      <c r="LM342" s="65"/>
      <c r="LQ342" s="65"/>
      <c r="LU342" s="65"/>
      <c r="LY342" s="65"/>
      <c r="MC342" s="65"/>
      <c r="MG342" s="65"/>
      <c r="MK342" s="65"/>
      <c r="MO342" s="65"/>
      <c r="MS342" s="65"/>
    </row>
    <row r="343" spans="1:357" x14ac:dyDescent="0.25">
      <c r="A343" s="15">
        <f t="shared" si="210"/>
        <v>24918525.92934205</v>
      </c>
      <c r="B343" s="20">
        <v>43037</v>
      </c>
      <c r="LA343" s="65"/>
      <c r="LE343" s="65"/>
      <c r="LI343" s="65"/>
      <c r="LM343" s="65"/>
      <c r="LQ343" s="65"/>
      <c r="LU343" s="65"/>
      <c r="LY343" s="65"/>
      <c r="MC343" s="65"/>
      <c r="MG343" s="65"/>
      <c r="MK343" s="65"/>
      <c r="MO343" s="65"/>
      <c r="MS343" s="65"/>
    </row>
    <row r="344" spans="1:357" x14ac:dyDescent="0.25">
      <c r="A344" s="15">
        <f t="shared" si="210"/>
        <v>24919806.982947957</v>
      </c>
      <c r="B344" s="20">
        <v>43038</v>
      </c>
      <c r="LA344" s="65"/>
      <c r="LE344" s="65"/>
      <c r="LI344" s="65"/>
      <c r="LM344" s="65"/>
      <c r="LQ344" s="65"/>
      <c r="LU344" s="65"/>
      <c r="LY344" s="65"/>
      <c r="MC344" s="65"/>
      <c r="MG344" s="65"/>
      <c r="MK344" s="65"/>
      <c r="MO344" s="65"/>
      <c r="MS344" s="65"/>
    </row>
    <row r="345" spans="1:357" x14ac:dyDescent="0.25">
      <c r="A345" s="15">
        <f>+AH96+AL89+AP86+AT86+AX84+BB84+BF83+BJ79+BN79+BR72+BV63+BZ63+CD62+CH62+CL58+CP56+CT56+CX54+DB49+DF48+DJ48+DN41+DV37+DZ34+ED33+EH28+EL23+EP22+ET22+EX21+FB15+FF15+FJ13+FN8+FR8</f>
        <v>25077680.766789325</v>
      </c>
      <c r="B345" s="20">
        <v>43039</v>
      </c>
      <c r="LA345" s="65"/>
      <c r="LE345" s="65"/>
      <c r="LI345" s="65"/>
      <c r="LM345" s="65"/>
      <c r="LQ345" s="65"/>
      <c r="LU345" s="65"/>
      <c r="LY345" s="65"/>
      <c r="MC345" s="65"/>
      <c r="MG345" s="65"/>
      <c r="MK345" s="65"/>
      <c r="MO345" s="65"/>
      <c r="MS345" s="65"/>
    </row>
    <row r="346" spans="1:357" x14ac:dyDescent="0.25">
      <c r="A346" s="15">
        <f t="shared" ref="A346" si="211">+AH97+AL90+AP87+AT87+AX85+BB85+BF84+BJ80+BN80+BR73+BV64+BZ64+CD63+CH63+CL59+CP57+CT57+CX55+DB50+DF49+DJ49+DN42+DV38+DZ35+ED34+EH29+EL24+EP23+ET23+EX22+FB16+FF16+FJ14+FN9+FR9</f>
        <v>25079016.506677344</v>
      </c>
      <c r="B346" s="20">
        <v>43040</v>
      </c>
      <c r="LA346" s="65"/>
      <c r="LE346" s="65"/>
      <c r="LI346" s="65"/>
      <c r="LM346" s="65"/>
      <c r="LQ346" s="65"/>
      <c r="LU346" s="65"/>
      <c r="LY346" s="65"/>
      <c r="MC346" s="65"/>
      <c r="MG346" s="65"/>
      <c r="MK346" s="65"/>
      <c r="MO346" s="65"/>
      <c r="MS346" s="65"/>
    </row>
    <row r="347" spans="1:357" x14ac:dyDescent="0.25">
      <c r="A347" s="15">
        <f>+AH98+AL91+AP88+AT88+AX86+BB86+BF85+BJ81+BN81+BR74+BV65+BZ65+CD64+CH64+CL60+CP58+CT58+CX56+DB51+DF50+DJ50+DN43+DV39+DZ36+ED35+EH30+EL25+EP24+ET24+EX23+FB17+FF17+FJ15+FN10+FR10+FV8+FZ8</f>
        <v>27404431.179946076</v>
      </c>
      <c r="B347" s="20">
        <v>43041</v>
      </c>
      <c r="LA347" s="65"/>
      <c r="LE347" s="65"/>
      <c r="LI347" s="65"/>
      <c r="LM347" s="65"/>
      <c r="LQ347" s="65"/>
      <c r="LU347" s="65"/>
      <c r="LY347" s="65"/>
      <c r="MC347" s="65"/>
      <c r="MG347" s="65"/>
      <c r="MK347" s="65"/>
      <c r="MO347" s="65"/>
      <c r="MS347" s="65"/>
    </row>
    <row r="348" spans="1:357" x14ac:dyDescent="0.25">
      <c r="A348" s="15">
        <f>+AH99+AL92+AP89+AT89+AX87+BB87+BF86+BJ82+BN82+BR75+BV66+BZ66+CD65+CH65+CL61+CP59+CT59+CX57+DB52+DF51+DJ51+DN44+DV40+DZ37+ED36+EH31+EL26+EP25+ET25+EX24+FB18+FF18+FJ16+FN11+FR11+FV9+FZ9+GD8</f>
        <v>27010746.931929838</v>
      </c>
      <c r="B348" s="20">
        <v>43042</v>
      </c>
      <c r="LA348" s="65"/>
      <c r="LE348" s="65"/>
      <c r="LI348" s="65"/>
      <c r="LM348" s="65"/>
      <c r="LQ348" s="65"/>
      <c r="LU348" s="65"/>
      <c r="LY348" s="65"/>
      <c r="MC348" s="65"/>
      <c r="MG348" s="65"/>
      <c r="MK348" s="65"/>
      <c r="MO348" s="65"/>
      <c r="MS348" s="65"/>
    </row>
    <row r="349" spans="1:357" x14ac:dyDescent="0.25">
      <c r="A349" s="15">
        <f t="shared" ref="A349:A351" si="212">+AH100+AL93+AP90+AT90+AX88+BB88+BF87+BJ83+BN83+BR76+BV67+BZ67+CD66+CH66+CL62+CP60+CT60+CX58+DB53+DF52+DJ52+DN45+DV41+DZ38+ED37+EH32+EL27+EP26+ET26+EX25+FB19+FF19+FJ17+FN12+FR12+FV10+FZ10+GD9</f>
        <v>27012242.778753333</v>
      </c>
      <c r="B349" s="20">
        <v>43043</v>
      </c>
      <c r="LA349" s="65"/>
      <c r="LE349" s="65"/>
      <c r="LI349" s="65"/>
      <c r="LM349" s="65"/>
      <c r="LQ349" s="65"/>
      <c r="LU349" s="65"/>
      <c r="LY349" s="65"/>
      <c r="MC349" s="65"/>
      <c r="MG349" s="65"/>
      <c r="MK349" s="65"/>
      <c r="MO349" s="65"/>
      <c r="MS349" s="65"/>
    </row>
    <row r="350" spans="1:357" x14ac:dyDescent="0.25">
      <c r="A350" s="15">
        <f t="shared" si="212"/>
        <v>27013738.792133536</v>
      </c>
      <c r="B350" s="20">
        <v>43044</v>
      </c>
      <c r="LA350" s="65"/>
      <c r="LE350" s="65"/>
      <c r="LI350" s="65"/>
      <c r="LM350" s="65"/>
      <c r="LQ350" s="65"/>
      <c r="LU350" s="65"/>
      <c r="LY350" s="65"/>
      <c r="MC350" s="65"/>
      <c r="MG350" s="65"/>
      <c r="MK350" s="65"/>
      <c r="MO350" s="65"/>
      <c r="MS350" s="65"/>
    </row>
    <row r="351" spans="1:357" x14ac:dyDescent="0.25">
      <c r="A351" s="15">
        <f t="shared" si="212"/>
        <v>27015234.972098403</v>
      </c>
      <c r="B351" s="20">
        <v>43045</v>
      </c>
      <c r="LA351" s="65"/>
      <c r="LE351" s="65"/>
      <c r="LI351" s="65"/>
      <c r="LM351" s="65"/>
      <c r="LQ351" s="65"/>
      <c r="LU351" s="65"/>
      <c r="LY351" s="65"/>
      <c r="MC351" s="65"/>
      <c r="MG351" s="65"/>
      <c r="MK351" s="65"/>
      <c r="MO351" s="65"/>
      <c r="MS351" s="65"/>
    </row>
    <row r="352" spans="1:357" x14ac:dyDescent="0.25">
      <c r="A352" s="15">
        <f>+AH103+AL96+AP93+AT93+AX91+BB91+BF90+BJ86+BN86+BR79+BV70+BZ70+CD69+CH69+CL65+CP63+CT63+CX61+DB56+DF55+DJ55+DN48+DV44+DZ41+ED40+EH35+EL30+EP29+ET29+EX28+FB22+FF22+FJ20+FN15+FR15+FV13+FZ13+GD12+GH8</f>
        <v>26650984.37884555</v>
      </c>
      <c r="B352" s="20">
        <v>43046</v>
      </c>
      <c r="LA352" s="65"/>
      <c r="LE352" s="65"/>
      <c r="LI352" s="65"/>
      <c r="LM352" s="65"/>
      <c r="LQ352" s="65"/>
      <c r="LU352" s="65"/>
      <c r="LY352" s="65"/>
      <c r="MC352" s="65"/>
      <c r="MG352" s="65"/>
      <c r="MK352" s="65"/>
      <c r="MO352" s="65"/>
      <c r="MS352" s="65"/>
    </row>
    <row r="353" spans="1:2" x14ac:dyDescent="0.25">
      <c r="A353" s="15">
        <f t="shared" ref="A353:A368" si="213">+AH104+AL97+AP94+AT94+AX92+BB92+BF91+BJ87+BN87+BR80+BV71+BZ71+CD70+CH70+CL66+CP64+CT64+CX62+DB57+DF56+DJ56+DN49+DV45+DZ42+ED41+EH36+EL31+EP30+ET30+EX29+FB23+FF23+FJ21+FN16+FR16+FV14+FZ14+GD13+GH9</f>
        <v>26652477.991978005</v>
      </c>
      <c r="B353" s="20">
        <v>43047</v>
      </c>
    </row>
    <row r="354" spans="1:2" x14ac:dyDescent="0.25">
      <c r="A354" s="15">
        <f t="shared" si="213"/>
        <v>26653971.773146957</v>
      </c>
      <c r="B354" s="20">
        <v>43048</v>
      </c>
    </row>
    <row r="355" spans="1:2" x14ac:dyDescent="0.25">
      <c r="A355" s="15">
        <f t="shared" si="213"/>
        <v>26655465.722380891</v>
      </c>
      <c r="B355" s="20">
        <v>43049</v>
      </c>
    </row>
    <row r="356" spans="1:2" x14ac:dyDescent="0.25">
      <c r="A356" s="15">
        <f t="shared" si="213"/>
        <v>26656959.839708246</v>
      </c>
      <c r="B356" s="20">
        <v>43050</v>
      </c>
    </row>
    <row r="357" spans="1:2" x14ac:dyDescent="0.25">
      <c r="A357" s="15">
        <f t="shared" si="213"/>
        <v>26658454.125157487</v>
      </c>
      <c r="B357" s="20">
        <v>43051</v>
      </c>
    </row>
    <row r="358" spans="1:2" x14ac:dyDescent="0.25">
      <c r="A358" s="15">
        <f t="shared" si="213"/>
        <v>26659948.578757104</v>
      </c>
      <c r="B358" s="20">
        <v>43052</v>
      </c>
    </row>
    <row r="359" spans="1:2" x14ac:dyDescent="0.25">
      <c r="A359" s="15">
        <f t="shared" si="213"/>
        <v>26661443.200535573</v>
      </c>
      <c r="B359" s="20">
        <v>43053</v>
      </c>
    </row>
    <row r="360" spans="1:2" x14ac:dyDescent="0.25">
      <c r="A360" s="15">
        <f t="shared" si="213"/>
        <v>26662937.990521386</v>
      </c>
      <c r="B360" s="20">
        <v>43054</v>
      </c>
    </row>
    <row r="361" spans="1:2" x14ac:dyDescent="0.25">
      <c r="A361" s="15">
        <f t="shared" si="213"/>
        <v>24268177.00312084</v>
      </c>
      <c r="B361" s="20">
        <v>43055</v>
      </c>
    </row>
    <row r="362" spans="1:2" x14ac:dyDescent="0.25">
      <c r="A362" s="15">
        <f t="shared" si="213"/>
        <v>24269548.507072497</v>
      </c>
      <c r="B362" s="20">
        <v>43056</v>
      </c>
    </row>
    <row r="363" spans="1:2" x14ac:dyDescent="0.25">
      <c r="A363" s="15">
        <f t="shared" si="213"/>
        <v>24270920.166514281</v>
      </c>
      <c r="B363" s="20">
        <v>43057</v>
      </c>
    </row>
    <row r="364" spans="1:2" x14ac:dyDescent="0.25">
      <c r="A364" s="15">
        <f t="shared" si="213"/>
        <v>24272291.981472697</v>
      </c>
      <c r="B364" s="20">
        <v>43058</v>
      </c>
    </row>
    <row r="365" spans="1:2" x14ac:dyDescent="0.25">
      <c r="A365" s="15">
        <f t="shared" si="213"/>
        <v>22669171.375175785</v>
      </c>
      <c r="B365" s="20">
        <v>43059</v>
      </c>
    </row>
    <row r="366" spans="1:2" x14ac:dyDescent="0.25">
      <c r="A366" s="15">
        <f t="shared" si="213"/>
        <v>22670450.155773669</v>
      </c>
      <c r="B366" s="20">
        <v>43060</v>
      </c>
    </row>
    <row r="367" spans="1:2" x14ac:dyDescent="0.25">
      <c r="A367" s="15">
        <f t="shared" si="213"/>
        <v>22671729.081105925</v>
      </c>
      <c r="B367" s="20">
        <v>43061</v>
      </c>
    </row>
    <row r="368" spans="1:2" x14ac:dyDescent="0.25">
      <c r="A368" s="15">
        <f t="shared" si="213"/>
        <v>22673008.151197199</v>
      </c>
      <c r="B368" s="20">
        <v>43062</v>
      </c>
    </row>
    <row r="369" spans="1:2" x14ac:dyDescent="0.25">
      <c r="A369" s="15">
        <f>+AH120+AL113+AP110+AT110+AX108+BB108+BF107+BJ103+BN103+BR96+BV87+BZ87+CD86+CH86+CL82+CP80+CT80+CX78+DB73+DF72+DJ72+DN65+DV61+DZ58+ED57+EH52+EL47+EP46+ET46+EX45+FB39+FF39+FJ37+FN32+FR32+FV30+FZ30+GD29+GH25+GL8</f>
        <v>23620019.47607214</v>
      </c>
      <c r="B369" s="20">
        <v>43063</v>
      </c>
    </row>
    <row r="370" spans="1:2" x14ac:dyDescent="0.25">
      <c r="A370" s="15">
        <f t="shared" ref="A370:A371" si="214">+AH121+AL114+AP111+AT111+AX109+BB109+BF108+BJ104+BN104+BR97+BV88+BZ88+CD87+CH87+CL83+CP81+CT81+CX79+DB74+DF73+DJ73+DN66+DV62+DZ59+ED58+EH53+EL48+EP47+ET47+EX46+FB40+FF40+FJ38+FN33+FR33+FV31+FZ31+GD30+GH26+GL9</f>
        <v>23621368.092945125</v>
      </c>
      <c r="B370" s="20">
        <v>43064</v>
      </c>
    </row>
    <row r="371" spans="1:2" x14ac:dyDescent="0.25">
      <c r="A371" s="15">
        <f t="shared" si="214"/>
        <v>23622716.864795435</v>
      </c>
      <c r="B371" s="20">
        <v>43065</v>
      </c>
    </row>
    <row r="372" spans="1:2" x14ac:dyDescent="0.25">
      <c r="A372" s="15">
        <f>+AH123+AL116+AP113+AT113+AX111+BB111+BF110+BJ106+BN106+BR99+BV90+BZ90+CD89+CH89+CL85+CP83+CT83+CX81+DB76+DF75+DJ75+DN68+DV64+DZ61+ED60+EH55+EL50+EP49+ET49+EX48+FB42+FF42+FJ40+FN35+FR35+FV33+FZ33+GD32+GH28+GL11+GP8</f>
        <v>24880028.371649958</v>
      </c>
      <c r="B372" s="20">
        <v>43066</v>
      </c>
    </row>
    <row r="373" spans="1:2" x14ac:dyDescent="0.25">
      <c r="A373" s="15">
        <f t="shared" ref="A373:A374" si="215">+AH124+AL117+AP114+AT114+AX112+BB112+BF111+BJ107+BN107+BR100+BV91+BZ91+CD90+CH90+CL86+CP84+CT84+CX82+DB77+DF76+DJ76+DN69+DV65+DZ62+ED61+EH56+EL51+EP50+ET50+EX49+FB43+FF43+FJ41+FN36+FR36+FV34+FZ34+GD33+GH29+GL12+GP9</f>
        <v>24881480.104104079</v>
      </c>
      <c r="B373" s="20">
        <v>43067</v>
      </c>
    </row>
    <row r="374" spans="1:2" x14ac:dyDescent="0.25">
      <c r="A374" s="15">
        <f t="shared" si="215"/>
        <v>24882932.008396998</v>
      </c>
      <c r="B374" s="20">
        <v>43068</v>
      </c>
    </row>
    <row r="375" spans="1:2" x14ac:dyDescent="0.25">
      <c r="A375" s="15">
        <f>+AH126+AL119+AP116+AT116+AX114+BB114+BF113+BJ109+BN109+BR102+BV93+BZ93+CD92+CH92+CL88+CP86+CT86+CX84+DB79+DF78+DJ78+DN71+DV67+DZ64+ED63+EH58+EL53+EP52+ET52+EX51+FB45+FF45+FJ43+FN38+FR38+FV36+FZ36+GD35+GH31+GL14+GP11+GT8</f>
        <v>25019477.69718584</v>
      </c>
      <c r="B375" s="20">
        <v>43069</v>
      </c>
    </row>
    <row r="376" spans="1:2" x14ac:dyDescent="0.25">
      <c r="A376" s="15">
        <f>+AH127+AL120+AP117+AT117+AX115+BB115+BF114+BJ110+BN110+BR103+BV94+BZ94+CD93+CH93+CL89+CP87+CT87+CX85+DB80+DF79+DJ79+DN72+DV68+DZ65+ED64+EH59+EL54+EP53+ET53+EX52+FB46+FF46+FJ44+FN39+FR39+FV37+FZ37+GD36+GH32+GL15+GP12+GT9+GX8+HB8</f>
        <v>23529817.360481061</v>
      </c>
      <c r="B376" s="20">
        <v>43070</v>
      </c>
    </row>
    <row r="377" spans="1:2" x14ac:dyDescent="0.25">
      <c r="A377" s="15">
        <f t="shared" ref="A377:A379" si="216">+AH128+AL121+AP118+AT118+AX116+BB116+BF115+BJ111+BN111+BR104+BV95+BZ95+CD94+CH94+CL90+CP88+CT88+CX86+DB81+DF80+DJ80+DN73+DV69+DZ66+ED65+EH60+EL55+EP54+ET54+EX53+FB47+FF47+FJ45+FN40+FR40+FV38+FZ38+GD37+GH33+GL16+GP13+GT10+GX9+HB9</f>
        <v>23531273.319114834</v>
      </c>
      <c r="B377" s="20">
        <v>43071</v>
      </c>
    </row>
    <row r="378" spans="1:2" x14ac:dyDescent="0.25">
      <c r="A378" s="15">
        <f t="shared" si="216"/>
        <v>23532729.462639593</v>
      </c>
      <c r="B378" s="20">
        <v>43072</v>
      </c>
    </row>
    <row r="379" spans="1:2" x14ac:dyDescent="0.25">
      <c r="A379" s="15">
        <f t="shared" si="216"/>
        <v>22392335.733148687</v>
      </c>
      <c r="B379" s="20">
        <v>43073</v>
      </c>
    </row>
    <row r="380" spans="1:2" x14ac:dyDescent="0.25">
      <c r="A380" s="15">
        <f>+AH131+AL124+AP121+AT121+AX119+BB119+BF118+BJ114+BN114+BR107+BV98+BZ98+CD97+CH97+CL93+CP91+CT91+CX89+DB84+DF83+DJ83+DN76+DV72+DZ69+ED68+EH63+EL58+EP57+ET57+EX56+FB50+FF50+FJ48+FN43+FR43+FV41+FZ41+GD40+GH36+GL19+GP16+GT13+GX12+HB12+HF8</f>
        <v>23494050.32036281</v>
      </c>
      <c r="B380" s="20">
        <v>43074</v>
      </c>
    </row>
    <row r="381" spans="1:2" x14ac:dyDescent="0.25">
      <c r="A381" s="15">
        <f>+AH132+AL125+AP122+AT122+AX120+BB120+BF119+BJ115+BN115+BR108+BV99+BZ99+CD98+CH98+CL94+CP92+CT92+CX90+DB85+DF84+DJ84+DN77+DV73+DZ70+ED69+EH64+EL59+EP58+ET58+EX57+FB51+FF51+FJ49+FN44+FR44+FV42+FZ42+GD41+GH37+GL20+GP17+GT14+GX13+HB13+HF9+HJ8+HN8</f>
        <v>21921481.603026628</v>
      </c>
      <c r="B381" s="20">
        <v>43075</v>
      </c>
    </row>
    <row r="382" spans="1:2" x14ac:dyDescent="0.25">
      <c r="A382" s="15">
        <f>+AH133+AL126+AP123+AT123+AX121+BB121+BF120+BJ116+BN116+BR109+BV100+BZ100+CD99+CH99+CL95+CP93+CT93+CX91+DB86+DF85+DJ85+DN78+DV74+DZ71+ED70+EH65+EL60+EP59+ET59+EX58+FB52+FF52+FJ50+FN45+FR45+FV43+FZ43+GD42+GH38+GL21+GP18+GT15+GX14+HB14+HF10+HJ9+HN9+HR8</f>
        <v>24963246.478819326</v>
      </c>
      <c r="B382" s="20">
        <v>43076</v>
      </c>
    </row>
    <row r="383" spans="1:2" x14ac:dyDescent="0.25">
      <c r="A383" s="15">
        <f t="shared" ref="A383:A385" si="217">+AH134+AL127+AP124+AT124+AX122+BB122+BF121+BJ117+BN117+BR110+BV101+BZ101+CD100+CH100+CL96+CP94+CT94+CX92+DB87+DF86+DJ86+DN79+DV75+DZ72+ED71+EH66+EL61+EP60+ET60+EX59+FB53+FF53+FJ51+FN46+FR46+FV44+FZ44+GD43+GH39+GL22+GP19+GT16+GX15+HB15+HF11+HJ10+HN10+HR9</f>
        <v>24964939.49594602</v>
      </c>
      <c r="B383" s="20">
        <v>43077</v>
      </c>
    </row>
    <row r="384" spans="1:2" x14ac:dyDescent="0.25">
      <c r="A384" s="15">
        <f t="shared" si="217"/>
        <v>24966632.750840642</v>
      </c>
      <c r="B384" s="20">
        <v>43078</v>
      </c>
    </row>
    <row r="385" spans="1:2" x14ac:dyDescent="0.25">
      <c r="A385" s="15">
        <f t="shared" si="217"/>
        <v>24968326.243554946</v>
      </c>
      <c r="B385" s="20">
        <v>43079</v>
      </c>
    </row>
    <row r="386" spans="1:2" x14ac:dyDescent="0.25">
      <c r="A386" s="15">
        <f>+AH137+AL130+AP127+AT127+AX125+BB125+BF124+BJ120+BN120+BR113+BV104+BZ104+CD103+CH103+CL99+CP97+CT97+CX95+DB90+DF89+DJ89+DN82+DV78+DZ75+ED74+EH69+EL64+EP63+ET63+EX62+FB56+FF56+FJ54+FN49+FR49+FV47+FZ47+GD46+GH42+GL25+GP22+GT19+GX18+HB18+HF14+HJ13+HN13+HR12+HV8+HZ8</f>
        <v>28017073.804140735</v>
      </c>
      <c r="B386" s="20">
        <v>43080</v>
      </c>
    </row>
    <row r="387" spans="1:2" x14ac:dyDescent="0.25">
      <c r="A387" s="15">
        <f>+AH138+AL131+AP128+AT128+AX126+BB126+BF125+BJ121+BN121+BR114+BV105+BZ105+CD104+CH104+CL100+CP98+CT98+CX96+DB91+DF90+DJ90+DN83+DV79+DZ76+ED75+EH70+EL65+EP64+ET64+EX63+FB57+FF57+FJ55+FN50+FR50+FV48+FZ48+GD47+GH43+GL26+GP23+GT20+GX19+HB19+HF15+HJ14+HN14+HR13+HV9+HZ9+ID8</f>
        <v>29237651.540255528</v>
      </c>
      <c r="B387" s="20">
        <v>43081</v>
      </c>
    </row>
    <row r="388" spans="1:2" x14ac:dyDescent="0.25">
      <c r="A388" s="15">
        <f>+AH139+AL132+AP129+AT129+AX127+BB127+BF126+BJ122+BN122+BR115+BV106+BZ106+CD105+CH105+CL101+CP99+CT99+CX97+DB92+DF91+DJ91+DN84+DV80+DZ77+ED76+EH71+EL66+EP65+ET65+EX64+FB58+FF58+FJ56+FN51+FR51+FV49+FZ49+GD48+GH44+GL27+GP24+GT21+GX20+HB20+HF16+HJ15+HN15+HR14+HV10+HZ10+ID9</f>
        <v>29239716.943179075</v>
      </c>
      <c r="B388" s="20">
        <v>43082</v>
      </c>
    </row>
    <row r="389" spans="1:2" x14ac:dyDescent="0.25">
      <c r="A389" s="15">
        <f t="shared" ref="A389:A396" si="218">+AH140+AL133+AP130+AT130+AX128+BB128+BF127+BJ123+BN123+BR116+BV107+BZ107+CD106+CH106+CL102+CP100+CT100+CX98+DB93+DF92+DJ92+DN85+DV81+DZ78+ED77+EH72+EL67+EP66+ET66+EX65+FB59+FF59+FJ57+FN52+FR52+FV50+FZ50+GD49+GH45+GL28+GP25+GT22+GX21+HB21+HF17+HJ16+HN16+HR15+HV11+HZ11+ID10</f>
        <v>26920197.978867482</v>
      </c>
      <c r="B389" s="20">
        <v>43083</v>
      </c>
    </row>
    <row r="390" spans="1:2" x14ac:dyDescent="0.25">
      <c r="A390" s="15">
        <f t="shared" si="218"/>
        <v>24251425.195688702</v>
      </c>
      <c r="B390" s="20">
        <v>43084</v>
      </c>
    </row>
    <row r="391" spans="1:2" x14ac:dyDescent="0.25">
      <c r="A391" s="15">
        <f t="shared" si="218"/>
        <v>24253156.688984718</v>
      </c>
      <c r="B391" s="20">
        <v>43085</v>
      </c>
    </row>
    <row r="392" spans="1:2" x14ac:dyDescent="0.25">
      <c r="A392" s="15">
        <f t="shared" si="218"/>
        <v>24254888.44360302</v>
      </c>
      <c r="B392" s="20">
        <v>43086</v>
      </c>
    </row>
    <row r="393" spans="1:2" x14ac:dyDescent="0.25">
      <c r="A393" s="15">
        <f t="shared" si="218"/>
        <v>24256620.459606312</v>
      </c>
      <c r="B393" s="20">
        <v>43087</v>
      </c>
    </row>
    <row r="394" spans="1:2" x14ac:dyDescent="0.25">
      <c r="A394" s="15">
        <f t="shared" si="218"/>
        <v>22733892.776141793</v>
      </c>
      <c r="B394" s="20">
        <v>43088</v>
      </c>
    </row>
    <row r="395" spans="1:2" x14ac:dyDescent="0.25">
      <c r="A395" s="15">
        <f t="shared" si="218"/>
        <v>21211008.514062107</v>
      </c>
      <c r="B395" s="20">
        <v>43089</v>
      </c>
    </row>
    <row r="396" spans="1:2" x14ac:dyDescent="0.25">
      <c r="A396" s="15">
        <f t="shared" si="218"/>
        <v>21212516.378504634</v>
      </c>
      <c r="B396" s="20">
        <v>43090</v>
      </c>
    </row>
    <row r="397" spans="1:2" x14ac:dyDescent="0.25">
      <c r="A397" s="15">
        <f>+AH148+AL141+AP138+AT138+AX136+BB136+BF135+BJ131+BN131+BR124+BV115+BZ115+CD114+CH114+CL110+CP108+CT108+CX106+DB101+DF100+DJ100+DN93+DV89+DZ86+ED85+EH80+EL75+EP74+ET74+EX73+FB67+FF67+FJ65+FN60+FR60+FV58+FZ58+GD57+GH53+GL36+GP33+GT30+GX29+HB29+HF25+HJ24+HN24+HR23+HV19+HZ19+ID18+IH8</f>
        <v>21276544.857106302</v>
      </c>
      <c r="B397" s="20">
        <v>43091</v>
      </c>
    </row>
    <row r="398" spans="1:2" x14ac:dyDescent="0.25">
      <c r="A398" s="15">
        <f t="shared" ref="A398:A400" si="219">+AH149+AL142+AP139+AT139+AX137+BB137+BF136+BJ132+BN132+BR125+BV116+BZ116+CD115+CH115+CL111+CP109+CT109+CX107+DB102+DF101+DJ101+DN94+DV90+DZ87+ED86+EH81+EL76+EP75+ET75+EX74+FB68+FF68+FJ66+FN61+FR61+FV59+FZ59+GD58+GH54+GL37+GP34+GT31+GX30+HB30+HF26+HJ25+HN25+HR24+HV20+HZ20+ID19+IH9</f>
        <v>21278012.902730785</v>
      </c>
      <c r="B398" s="20">
        <v>43092</v>
      </c>
    </row>
    <row r="399" spans="1:2" x14ac:dyDescent="0.25">
      <c r="A399" s="15">
        <f t="shared" si="219"/>
        <v>21279481.159254946</v>
      </c>
      <c r="B399" s="20">
        <v>43093</v>
      </c>
    </row>
    <row r="400" spans="1:2" x14ac:dyDescent="0.25">
      <c r="A400" s="15">
        <f t="shared" si="219"/>
        <v>21280949.62672592</v>
      </c>
      <c r="B400" s="20">
        <v>43094</v>
      </c>
    </row>
    <row r="401" spans="1:2" x14ac:dyDescent="0.25">
      <c r="A401" s="15">
        <f>+AH152+AL145+AP142+AT142+AX140+BB140+BF139+BJ135+BN135+BR128+BV119+BZ119+CD118+CH118+CL114+CP112+CT112+CX110+DB105+DF104+DJ104+DN97+DV93+DZ90+ED89+EH84+EL79+EP78+ET78+EX77+FB71+FF71+FJ69+FN64+FR64+FV62+FZ62+GD61+GH57+GL40+GP37+GT34+GX33+HB33+HF29+HJ28+HN28+HR27+HV23+HZ23+ID22+IH12+IL8</f>
        <v>23860513.615190864</v>
      </c>
      <c r="B401" s="20">
        <v>43095</v>
      </c>
    </row>
    <row r="402" spans="1:2" x14ac:dyDescent="0.25">
      <c r="A402" s="15">
        <f>+AH153+AL146+AP143+AT143+AX141+BB141+BF140+BJ136+BN136+BR129+BV120+BZ120+CD119+CH119+CL115+CP113+CT113+CX111+DB106+DF105+DJ105+DN98+DV94+DZ91+ED90+EH85+EL80+EP79+ET79+EX78+FB72+FF72+FJ70+FN65+FR65+FV63+FZ63+GD62+GH58+GL41+GP38+GT35+GX34+HB34+HF30+HJ29+HN29+HR28+HV24+HZ24+ID23+IH13+IL9+IP8</f>
        <v>23736397.468890797</v>
      </c>
      <c r="B402" s="20">
        <v>43096</v>
      </c>
    </row>
    <row r="403" spans="1:2" x14ac:dyDescent="0.25">
      <c r="A403" s="15">
        <f t="shared" ref="A403:A407" si="220">+AH154+AL147+AP144+AT144+AX142+BB142+BF141+BJ137+BN137+BR130+BV121+BZ121+CD120+CH120+CL116+CP114+CT114+CX112+DB107+DF106+DJ106+DN99+DV95+DZ92+ED91+EH86+EL81+EP80+ET80+EX79+FB73+FF73+FJ71+FN66+FR66+FV64+FZ64+GD63+GH59+GL42+GP39+GT36+GX35+HB35+HF31+HJ30+HN30+HR29+HV25+HZ25+ID24+IH14+IL10+IP9</f>
        <v>23738074.804014131</v>
      </c>
      <c r="B403" s="20">
        <v>43097</v>
      </c>
    </row>
    <row r="404" spans="1:2" x14ac:dyDescent="0.25">
      <c r="A404" s="15">
        <f t="shared" si="220"/>
        <v>23739752.385624263</v>
      </c>
      <c r="B404" s="20">
        <v>43098</v>
      </c>
    </row>
    <row r="405" spans="1:2" x14ac:dyDescent="0.25">
      <c r="A405" s="15">
        <f t="shared" si="220"/>
        <v>23741430.213777404</v>
      </c>
      <c r="B405" s="20">
        <v>43099</v>
      </c>
    </row>
    <row r="406" spans="1:2" x14ac:dyDescent="0.25">
      <c r="A406" s="15">
        <f t="shared" si="220"/>
        <v>23743108.288529783</v>
      </c>
      <c r="B406" s="20">
        <v>43100</v>
      </c>
    </row>
    <row r="407" spans="1:2" x14ac:dyDescent="0.25">
      <c r="A407" s="15">
        <f t="shared" si="220"/>
        <v>23744786.609937649</v>
      </c>
      <c r="B407" s="20">
        <v>43101</v>
      </c>
    </row>
    <row r="408" spans="1:2" x14ac:dyDescent="0.25">
      <c r="A408" s="15">
        <f>+AH159+AL152+AP149+AT149+AX147+BB147+BF146+BJ142+BN142+BR135+BV126+BZ126+CD125+CH125+CL121+CP119+CT119+CX117+DB112+DF111+DJ111+DN104+DV100+DZ97+ED96+EH91+EL86+EP85+ET85+EX84+FB78+FF78+FJ76+FN71+FR71+FV69+FZ69+GD68+GH64+GL47+GP44+GT41+GX40+HB40+HF36+HJ35+HN35+HR34+HV30+HZ30+ID29+IH19+IL15+IP14+IT8+IX8</f>
        <v>21509420.013077248</v>
      </c>
      <c r="B408" s="20">
        <v>43102</v>
      </c>
    </row>
    <row r="409" spans="1:2" x14ac:dyDescent="0.25">
      <c r="A409" s="15">
        <f t="shared" ref="A409:A413" si="221">+AH160+AL153+AP150+AT150+AX148+BB148+BF147+BJ143+BN143+BR136+BV127+BZ127+CD126+CH126+CL122+CP120+CT120+CX118+DB113+DF112+DJ112+DN105+DV101+DZ98+ED97+EH92+EL87+EP86+ET86+EX85+FB79+FF79+FJ77+FN72+FR72+FV70+FZ70+GD69+GH65+GL48+GP45+GT42+GX41+HB41+HF37+HJ36+HN36+HR35+HV31+HZ31+ID30+IH20+IL16+IP15+IT9+IX9</f>
        <v>18350290.286682621</v>
      </c>
      <c r="B409" s="20">
        <v>43103</v>
      </c>
    </row>
    <row r="410" spans="1:2" x14ac:dyDescent="0.25">
      <c r="A410" s="15">
        <f t="shared" si="221"/>
        <v>15698262.673102099</v>
      </c>
      <c r="B410" s="20">
        <v>43104</v>
      </c>
    </row>
    <row r="411" spans="1:2" x14ac:dyDescent="0.25">
      <c r="A411" s="15">
        <f t="shared" si="221"/>
        <v>13236247.780902546</v>
      </c>
      <c r="B411" s="20">
        <v>43105</v>
      </c>
    </row>
    <row r="412" spans="1:2" x14ac:dyDescent="0.25">
      <c r="A412" s="15">
        <f t="shared" si="221"/>
        <v>13237253.515533336</v>
      </c>
      <c r="B412" s="20">
        <v>43106</v>
      </c>
    </row>
    <row r="413" spans="1:2" x14ac:dyDescent="0.25">
      <c r="A413" s="15">
        <f t="shared" si="221"/>
        <v>13238259.407527331</v>
      </c>
      <c r="B413" s="20">
        <v>43107</v>
      </c>
    </row>
    <row r="414" spans="1:2" x14ac:dyDescent="0.25">
      <c r="A414" s="15">
        <f>+AH165+AL158+AP155+AT155+AX153+BB153+BF152+BJ148+BN148+BR141+BV132+BZ132+CD131+CH131+CL127+CP125+CT125+CX123+DB118+DF117+DJ117+DN110+DV106+DZ103+ED102+EH97+EL92+EP91+ET91+EX90+FB84+FF84+FJ82+FN77+FR77+FV75+FZ75+GD74+GH70+GL53+GP50+GT47+GX46+HB46+HF42+HJ41+HN41+HR40+HV36+HZ36+ID35+IH25+IL21+IP20+IT14+IX14+JB8</f>
        <v>9912671.0305975825</v>
      </c>
      <c r="B414" s="20">
        <v>43108</v>
      </c>
    </row>
    <row r="415" spans="1:2" x14ac:dyDescent="0.25">
      <c r="A415" s="15">
        <f t="shared" ref="A415:A421" si="222">+AH166+AL159+AP156+AT156+AX154+BB154+BF153+BJ149+BN149+BR142+BV133+BZ133+CD132+CH132+CL128+CP126+CT126+CX124+DB119+DF118+DJ118+DN111+DV107+DZ104+ED103+EH98+EL93+EP92+ET92+EX91+FB85+FF85+FJ83+FN78+FR78+FV76+FZ76+GD75+GH71+GL54+GP51+GT48+GX47+HB47+HF43+HJ42+HN42+HR41+HV37+HZ37+ID36+IH26+IL22+IP21+IT15+IX15+JB9</f>
        <v>9913379.5259753689</v>
      </c>
      <c r="B415" s="20">
        <v>43109</v>
      </c>
    </row>
    <row r="416" spans="1:2" x14ac:dyDescent="0.25">
      <c r="A416" s="15">
        <f t="shared" si="222"/>
        <v>9914088.1259109322</v>
      </c>
      <c r="B416" s="20">
        <v>43110</v>
      </c>
    </row>
    <row r="417" spans="1:2" x14ac:dyDescent="0.25">
      <c r="A417" s="15">
        <f t="shared" si="222"/>
        <v>9914796.8304280769</v>
      </c>
      <c r="B417" s="20">
        <v>43111</v>
      </c>
    </row>
    <row r="418" spans="1:2" x14ac:dyDescent="0.25">
      <c r="A418" s="15">
        <f t="shared" si="222"/>
        <v>9915505.6395506077</v>
      </c>
      <c r="B418" s="20">
        <v>43112</v>
      </c>
    </row>
    <row r="419" spans="1:2" x14ac:dyDescent="0.25">
      <c r="A419" s="15">
        <f t="shared" si="222"/>
        <v>9916214.5533023402</v>
      </c>
      <c r="B419" s="20">
        <v>43113</v>
      </c>
    </row>
    <row r="420" spans="1:2" x14ac:dyDescent="0.25">
      <c r="A420" s="15">
        <f t="shared" si="222"/>
        <v>9916923.5717070941</v>
      </c>
      <c r="B420" s="20">
        <v>43114</v>
      </c>
    </row>
    <row r="421" spans="1:2" x14ac:dyDescent="0.25">
      <c r="A421" s="15">
        <f t="shared" si="222"/>
        <v>9917632.6947886981</v>
      </c>
      <c r="B421" s="20">
        <v>43115</v>
      </c>
    </row>
    <row r="422" spans="1:2" x14ac:dyDescent="0.25">
      <c r="A422" s="15">
        <f>+AH173+AL166+AP163+AT163+AX161+BB161+BF160+BJ156+BN156+BR149+BV140+BZ140+CD139+CH139+CL135+CP133+CT133+CX131+DB126+DF125+DJ125+DN118+DV114+DZ112+ED110+EH105+EL100+EP99+ET99+EX98+FB92+FF92+FJ90+FN85+FR85+FV83+FZ83+GD82+GH78+GL61+GP58+GT55+GX54+HB54+HF50+HJ49+HN49+HR48+HV44+HZ44+ID43+IH33+IL29+IP28+IT22+IX22+JB16</f>
        <v>9122860.2591818292</v>
      </c>
      <c r="B422" s="20">
        <v>43116</v>
      </c>
    </row>
    <row r="423" spans="1:2" x14ac:dyDescent="0.25">
      <c r="A423" s="15">
        <f t="shared" ref="A423:A424" si="223">+AH174+AL167+AP164+AT164+AX162+BB162+BF161+BJ157+BN157+BR150+BV141+BZ141+CD140+CH140+CL136+CP134+CT134+CX132+DB127+DF126+DJ126+DN119+DV115+DZ113+ED111+EH106+EL101+EP100+ET100+EX99+FB93+FF93+FJ91+FN86+FR86+FV84+FZ84+GD83+GH79+GL62+GP59+GT56+GX55+HB55+HF51+HJ50+HN50+HR49+HV45+HZ45+ID44+IH34+IL30+IP29+IT23+IX23+JB17</f>
        <v>9123527.7981279865</v>
      </c>
      <c r="B423" s="20">
        <v>43117</v>
      </c>
    </row>
    <row r="424" spans="1:2" x14ac:dyDescent="0.25">
      <c r="A424" s="15">
        <f t="shared" si="223"/>
        <v>9124195.4374307413</v>
      </c>
      <c r="B424" s="20">
        <v>43118</v>
      </c>
    </row>
    <row r="425" spans="1:2" x14ac:dyDescent="0.25">
      <c r="A425" s="15">
        <f>+AH176+AL169+AP166+AT166+AX164+BB164+BF163+BJ159+BN159+BR152+BV143+BZ143+CD142+CH142+CL138+CP136+CT136+CX134+DB129+DF128+DJ128+DN121+DV117+DZ115+ED113+EH108+EL103+EP102+ET102+EX101+FB95+FF95+FJ93+FN88+FR88+FV86+FZ86+GD85+GH81+GL64+GP61+GT58+GX57+HB57+HF53+HJ52+HN52+HR51+HV47+HZ47+ID46+IH36+IL32+IP31+IT25+IX25+JB19+JF8</f>
        <v>10605358.007113257</v>
      </c>
      <c r="B425" s="20">
        <v>43119</v>
      </c>
    </row>
    <row r="426" spans="1:2" x14ac:dyDescent="0.25">
      <c r="A426" s="15">
        <f t="shared" ref="A426:A429" si="224">+AH177+AL170+AP167+AT167+AX165+BB165+BF164+BJ160+BN160+BR153+BV144+BZ144+CD143+CH143+CL139+CP137+CT137+CX135+DB130+DF129+DJ129+DN122+DV118+DZ116+ED114+EH109+EL104+EP103+ET103+EX102+FB96+FF96+FJ94+FN89+FR89+FV87+FZ87+GD86+GH82+GL65+GP62+GT59+GX58+HB58+HF54+HJ53+HN53+HR52+HV48+HZ48+ID47+IH37+IL33+IP32+IT26+IX26+JB20+JF9</f>
        <v>10606101.577926753</v>
      </c>
      <c r="B426" s="20">
        <v>43120</v>
      </c>
    </row>
    <row r="427" spans="1:2" x14ac:dyDescent="0.25">
      <c r="A427" s="15">
        <f t="shared" si="224"/>
        <v>10606845.25691437</v>
      </c>
      <c r="B427" s="20">
        <v>43121</v>
      </c>
    </row>
    <row r="428" spans="1:2" x14ac:dyDescent="0.25">
      <c r="A428" s="15">
        <f t="shared" si="224"/>
        <v>10607589.044100478</v>
      </c>
      <c r="B428" s="20">
        <v>43122</v>
      </c>
    </row>
    <row r="429" spans="1:2" x14ac:dyDescent="0.25">
      <c r="A429" s="15">
        <f t="shared" si="224"/>
        <v>10608332.939509466</v>
      </c>
      <c r="B429" s="20">
        <v>43123</v>
      </c>
    </row>
    <row r="430" spans="1:2" x14ac:dyDescent="0.25">
      <c r="A430" s="15">
        <f>+AH181+AL174+AP171+AT171+AX169+BB169+BF168+BJ164+BN164+BR157+BV148+BZ148+CD147+CH147+CL143+CP141+CT141+CX139+DB134+DF133+DJ133+DN126+DV122+DZ120+ED118+EH113+EL108+EP107+ET107+EX106+FB100+FF100+FJ98+FN93+FR93+FV91+FZ91+GD90+GH86+GL69+GP66+GT63+GX62+HB62+HF58+HJ57+HN57+HR56+HV52+HZ52+ID51+IL37+IP36+IT30+IX30+JB24+JF13+JJ8+JN8</f>
        <v>11307738.425675729</v>
      </c>
      <c r="B430" s="20">
        <v>43124</v>
      </c>
    </row>
    <row r="431" spans="1:2" x14ac:dyDescent="0.25">
      <c r="A431" s="15">
        <f>+AH182+AL175+AP172+AT172+AX170+BB170+BF169+BJ165+BN165+BR158+BV149+BZ149+CD148+CH148+CL144+CP142+CT142+CX140+DB135+DF134+DJ134+DN127+DV123+DZ121+ED119+EH114+EL109+EP108+ET108+EX107+FB101+FF101+FJ99+FN94+FR94+FV92+FZ92+GD91+GH87+GL70+GP67+GT64+GX63+HB63+HF59+HJ58+HN58+HR57+HV53+HZ53+ID52+IL38+IP37+IT31+IX31+JB25+JF14+JJ9+JN9+JR8</f>
        <v>12806962.735153973</v>
      </c>
      <c r="B431" s="20">
        <v>43125</v>
      </c>
    </row>
    <row r="432" spans="1:2" x14ac:dyDescent="0.25">
      <c r="A432" s="15">
        <f>+AH183+AL176+AP173+AT173+AX171+BB171+BF170+BJ166+BN166+BR159+BV150+BZ150+CD149+CH149+CL145+CP143+CT143+CX141+DB136+DF135+DJ135+DN128+DV124+DZ122+ED120+EH115+EL110+EP109+ET109+EX108+FB102+FF102+FJ100+FN95+FR95+FV93+FZ93+GD92+GH88+GL71+GP68+GT65+GX64+HB64+HF60+HJ59+HN59+HR58+HV54+HZ54+ID53+IL39+IP38+IT32+IX32+JB26+JF15+JJ10+JN10+JR9</f>
        <v>12807790.686450578</v>
      </c>
      <c r="B432" s="20">
        <v>43126</v>
      </c>
    </row>
    <row r="433" spans="1:2" x14ac:dyDescent="0.25">
      <c r="A433" s="15">
        <f t="shared" ref="A433:A435" si="225">+AH184+AL177+AP174+AT174+AX172+BB172+BF171+BJ167+BN167+BR160+BV151+BZ151+CD150+CH150+CL146+CP144+CT144+CX142+DB137+DF136+DJ136+DN129+DV125+DZ123+ED121+EH116+EL111+EP110+ET110+EX109+FB103+FF103+FJ101+FN96+FR96+FV94+FZ94+GD93+GH89+GL72+GP69+GT66+GX65+HB65+HF61+HJ60+HN60+HR59+HV55+HZ55+ID54+IL40+IP39+IT33+IX33+JB27+JF16+JJ11+JN11+JR10</f>
        <v>12808618.749181245</v>
      </c>
      <c r="B433" s="20">
        <v>43127</v>
      </c>
    </row>
    <row r="434" spans="1:2" x14ac:dyDescent="0.25">
      <c r="A434" s="15">
        <f t="shared" si="225"/>
        <v>12809446.923369393</v>
      </c>
      <c r="B434" s="20">
        <v>43128</v>
      </c>
    </row>
    <row r="435" spans="1:2" x14ac:dyDescent="0.25">
      <c r="A435" s="15">
        <f t="shared" si="225"/>
        <v>11673911.569210947</v>
      </c>
      <c r="B435" s="20">
        <v>43129</v>
      </c>
    </row>
    <row r="436" spans="1:2" x14ac:dyDescent="0.25">
      <c r="A436" s="15">
        <f>+AH187+AL180+AP177+AT177+AX175+BB175+BF174+BJ170+BN170+BR163+BV154+BZ154+CD153+CH153+CL149+CP147+CT147+CX145+DB140+DF139+DJ139+DN132+DV128+DZ126+ED124+EH119+EL114+EP113+ET113+EX112+FB106+FF106+FJ104+FN99+FR99+FV97+FZ97+GD96+GH92+GL75+GP72+GT69+GX68+HB68+HF64+HJ63+HN63+HR62+HV58+HZ58+ID57+IL43+IP42+IT36+IX36+JB30+JF19+JJ14+JN14+JR13+JV8</f>
        <v>13323681.24152229</v>
      </c>
      <c r="B436" s="20">
        <v>43130</v>
      </c>
    </row>
    <row r="437" spans="1:2" x14ac:dyDescent="0.25">
      <c r="A437" s="15">
        <f t="shared" ref="A437:A473" si="226">+AH188+AL181+AP178+AT178+AX176+BB176+BF175+BJ171+BN171+BR164+BV155+BZ155+CD154+CH154+CL150+CP148+CT148+CX146+DB141+DF140+DJ140+DN133+DV129+DZ127+ED125+EH120+EL115+EP114+ET114+EX113+FB107+FF107+FJ105+FN100+FR100+FV98+FZ98+GD97+GH93+GL76+GP73+GT70+GX69+HB69+HF65+HJ64+HN64+HR63+HV59+HZ59+ID58+IL44+IP43+IT37+IX37+JB31+JF20+JJ15+JN15+JR14+JV9</f>
        <v>13324517.114188325</v>
      </c>
      <c r="B437" s="20">
        <v>43131</v>
      </c>
    </row>
    <row r="438" spans="1:2" x14ac:dyDescent="0.25">
      <c r="A438" s="15">
        <f t="shared" si="226"/>
        <v>11834831.961671753</v>
      </c>
      <c r="B438" s="20">
        <v>43132</v>
      </c>
    </row>
    <row r="439" spans="1:2" x14ac:dyDescent="0.25">
      <c r="A439" s="15">
        <f t="shared" si="226"/>
        <v>11835574.20623192</v>
      </c>
      <c r="B439" s="20">
        <v>43133</v>
      </c>
    </row>
    <row r="440" spans="1:2" x14ac:dyDescent="0.25">
      <c r="A440" s="15">
        <f t="shared" si="226"/>
        <v>11836316.547418408</v>
      </c>
      <c r="B440" s="20">
        <v>43134</v>
      </c>
    </row>
    <row r="441" spans="1:2" x14ac:dyDescent="0.25">
      <c r="A441" s="15">
        <f t="shared" si="226"/>
        <v>11837058.985250855</v>
      </c>
      <c r="B441" s="20">
        <v>43135</v>
      </c>
    </row>
    <row r="442" spans="1:2" x14ac:dyDescent="0.25">
      <c r="A442" s="15">
        <f t="shared" si="226"/>
        <v>7604139.5976766311</v>
      </c>
      <c r="B442" s="20">
        <v>43136</v>
      </c>
    </row>
    <row r="443" spans="1:2" x14ac:dyDescent="0.25">
      <c r="A443" s="15">
        <f t="shared" si="226"/>
        <v>7604561.2917333599</v>
      </c>
      <c r="B443" s="20">
        <v>43137</v>
      </c>
    </row>
    <row r="444" spans="1:2" x14ac:dyDescent="0.25">
      <c r="A444" s="15">
        <f t="shared" si="226"/>
        <v>7604983.0328212176</v>
      </c>
      <c r="B444" s="20">
        <v>43138</v>
      </c>
    </row>
    <row r="445" spans="1:2" x14ac:dyDescent="0.25">
      <c r="A445" s="15">
        <f t="shared" si="226"/>
        <v>7605404.8209481165</v>
      </c>
      <c r="B445" s="20">
        <v>43139</v>
      </c>
    </row>
    <row r="446" spans="1:2" x14ac:dyDescent="0.25">
      <c r="A446" s="15">
        <f t="shared" si="226"/>
        <v>7605826.6561219711</v>
      </c>
      <c r="B446" s="20">
        <v>43140</v>
      </c>
    </row>
    <row r="447" spans="1:2" x14ac:dyDescent="0.25">
      <c r="A447" s="15">
        <f t="shared" si="226"/>
        <v>7606248.5383506985</v>
      </c>
      <c r="B447" s="20">
        <v>43141</v>
      </c>
    </row>
    <row r="448" spans="1:2" x14ac:dyDescent="0.25">
      <c r="A448" s="15">
        <f t="shared" si="226"/>
        <v>7606670.4676422169</v>
      </c>
      <c r="B448" s="20">
        <v>43142</v>
      </c>
    </row>
    <row r="449" spans="1:2" x14ac:dyDescent="0.25">
      <c r="A449" s="15">
        <f t="shared" si="226"/>
        <v>7607092.4440044453</v>
      </c>
      <c r="B449" s="20">
        <v>43143</v>
      </c>
    </row>
    <row r="450" spans="1:2" x14ac:dyDescent="0.25">
      <c r="A450" s="15">
        <f>+AH201+AL194+AP191+AT191+AX189+BB189+BF188+BJ184+BN184+BR177+BV168+BZ168+CD167+CH167+CL163+CP161+CT161+CX159+DB154+DF153+DJ153+DN146+DV142+DZ140+ED138+EH133+EL128+EP127+ET127+EX126+FB120+FF120+FJ118+FN113+FR113+FV111+FZ111+GD110+GH106+GL89+GP86+GT83+GX82+HB82+HF78+HJ77+HN77+HR76+HV72+HZ72+ID71+IL57+IP56+IT50+IX50+JB44+JF33+JJ28+JN28+JR27+JV22</f>
        <v>6613742.1094350033</v>
      </c>
      <c r="B450" s="20">
        <v>43144</v>
      </c>
    </row>
    <row r="451" spans="1:2" x14ac:dyDescent="0.25">
      <c r="A451" s="15">
        <f t="shared" si="226"/>
        <v>6614112.729684541</v>
      </c>
      <c r="B451" s="20">
        <v>43145</v>
      </c>
    </row>
    <row r="452" spans="1:2" x14ac:dyDescent="0.25">
      <c r="A452" s="15">
        <f t="shared" si="226"/>
        <v>6614483.3917008443</v>
      </c>
      <c r="B452" s="20">
        <v>43146</v>
      </c>
    </row>
    <row r="453" spans="1:2" x14ac:dyDescent="0.25">
      <c r="A453" s="15">
        <f t="shared" si="226"/>
        <v>6614854.0954910126</v>
      </c>
      <c r="B453" s="20">
        <v>43147</v>
      </c>
    </row>
    <row r="454" spans="1:2" x14ac:dyDescent="0.25">
      <c r="A454" s="15">
        <f t="shared" si="226"/>
        <v>6615224.8410621481</v>
      </c>
      <c r="B454" s="20">
        <v>43148</v>
      </c>
    </row>
    <row r="455" spans="1:2" x14ac:dyDescent="0.25">
      <c r="A455" s="15">
        <f t="shared" si="226"/>
        <v>6615595.6284213541</v>
      </c>
      <c r="B455" s="20">
        <v>43149</v>
      </c>
    </row>
    <row r="456" spans="1:2" x14ac:dyDescent="0.25">
      <c r="A456" s="15">
        <f t="shared" si="226"/>
        <v>6615966.4575757319</v>
      </c>
      <c r="B456" s="20">
        <v>43150</v>
      </c>
    </row>
    <row r="457" spans="1:2" x14ac:dyDescent="0.25">
      <c r="A457" s="15">
        <f t="shared" si="226"/>
        <v>6616337.3285323894</v>
      </c>
      <c r="B457" s="20">
        <v>43151</v>
      </c>
    </row>
    <row r="458" spans="1:2" x14ac:dyDescent="0.25">
      <c r="A458" s="15">
        <f t="shared" si="226"/>
        <v>6616708.2412984353</v>
      </c>
      <c r="B458" s="20">
        <v>43152</v>
      </c>
    </row>
    <row r="459" spans="1:2" x14ac:dyDescent="0.25">
      <c r="A459" s="15">
        <f t="shared" si="226"/>
        <v>5623454.95243668</v>
      </c>
      <c r="B459" s="20">
        <v>43153</v>
      </c>
    </row>
    <row r="460" spans="1:2" x14ac:dyDescent="0.25">
      <c r="A460" s="15">
        <f t="shared" si="226"/>
        <v>5623772.9817400314</v>
      </c>
      <c r="B460" s="20">
        <v>43154</v>
      </c>
    </row>
    <row r="461" spans="1:2" x14ac:dyDescent="0.25">
      <c r="A461" s="15">
        <f t="shared" si="226"/>
        <v>5624091.0472267698</v>
      </c>
      <c r="B461" s="20">
        <v>43155</v>
      </c>
    </row>
    <row r="462" spans="1:2" x14ac:dyDescent="0.25">
      <c r="A462" s="15">
        <f t="shared" si="226"/>
        <v>5624409.1489031045</v>
      </c>
      <c r="B462" s="20">
        <v>43156</v>
      </c>
    </row>
    <row r="463" spans="1:2" x14ac:dyDescent="0.25">
      <c r="A463" s="15">
        <f t="shared" si="226"/>
        <v>5624727.28677525</v>
      </c>
      <c r="B463" s="20">
        <v>43157</v>
      </c>
    </row>
    <row r="464" spans="1:2" x14ac:dyDescent="0.25">
      <c r="A464" s="15">
        <f t="shared" si="226"/>
        <v>5625045.4608494192</v>
      </c>
      <c r="B464" s="20">
        <v>43158</v>
      </c>
    </row>
    <row r="465" spans="1:2" x14ac:dyDescent="0.25">
      <c r="A465" s="15">
        <f t="shared" si="226"/>
        <v>5625363.671131826</v>
      </c>
      <c r="B465" s="20">
        <v>43159</v>
      </c>
    </row>
    <row r="466" spans="1:2" x14ac:dyDescent="0.25">
      <c r="A466" s="15">
        <f t="shared" si="226"/>
        <v>2640549.2133749761</v>
      </c>
      <c r="B466" s="20">
        <v>43160</v>
      </c>
    </row>
    <row r="467" spans="1:2" x14ac:dyDescent="0.25">
      <c r="A467" s="15">
        <f t="shared" si="226"/>
        <v>2640704.3134034332</v>
      </c>
      <c r="B467" s="20">
        <v>43161</v>
      </c>
    </row>
    <row r="468" spans="1:2" x14ac:dyDescent="0.25">
      <c r="A468" s="15">
        <f t="shared" si="226"/>
        <v>2640859.4317485821</v>
      </c>
      <c r="B468" s="20">
        <v>43162</v>
      </c>
    </row>
    <row r="469" spans="1:2" x14ac:dyDescent="0.25">
      <c r="A469" s="15">
        <f t="shared" si="226"/>
        <v>2641014.5684136837</v>
      </c>
      <c r="B469" s="20">
        <v>43163</v>
      </c>
    </row>
    <row r="470" spans="1:2" x14ac:dyDescent="0.25">
      <c r="A470" s="15">
        <f t="shared" si="226"/>
        <v>2641169.723402</v>
      </c>
      <c r="B470" s="20">
        <v>43164</v>
      </c>
    </row>
    <row r="471" spans="1:2" x14ac:dyDescent="0.25">
      <c r="A471" s="15">
        <f t="shared" si="226"/>
        <v>2641324.8967167926</v>
      </c>
      <c r="B471" s="20">
        <v>43165</v>
      </c>
    </row>
    <row r="472" spans="1:2" x14ac:dyDescent="0.25">
      <c r="A472" s="15">
        <f t="shared" si="226"/>
        <v>1652719.0060944709</v>
      </c>
      <c r="B472" s="20">
        <v>43166</v>
      </c>
    </row>
    <row r="473" spans="1:2" x14ac:dyDescent="0.25">
      <c r="A473" s="15">
        <f t="shared" si="226"/>
        <v>1652821.547231666</v>
      </c>
      <c r="B473" s="20">
        <v>43167</v>
      </c>
    </row>
    <row r="474" spans="1:2" x14ac:dyDescent="0.25">
      <c r="A474" s="15">
        <f>+AH225+AL218+AP215+AT215+AX213+BB213+BF212+BJ208+BN208+BR201+BV192+BZ192+CD191+CH191+CL187+CP185+CT185+CX183+DB178+DF177+DJ177+DN170+DV166+DZ164+ED162+EH157+EL152+EP151+ET151+EX150+FB144+FF144+FJ142+FN137+FR137+FV135+FZ135+GD134+GH130+GL113+GP110+GT107+GX106+HB106+HF102+HJ101+HN101+HR100+HV96+HZ96+ID95+IL81+IP80+IT74+IX74+JB68+JF57+JJ52+JN52+JR51+JV46+KP8</f>
        <v>4964110.8910937561</v>
      </c>
      <c r="B474" s="20">
        <v>43168</v>
      </c>
    </row>
    <row r="475" spans="1:2" x14ac:dyDescent="0.25">
      <c r="A475" s="15">
        <f t="shared" ref="A475:A476" si="227">+AH226+AL219+AP216+AT216+AX214+BB214+BF213+BJ209+BN209+BR202+BV193+BZ193+CD192+CH192+CL188+CP186+CT186+CX184+DB179+DF178+DJ178+DN171+DV167+DZ165+ED163+EH158+EL153+EP152+ET152+EX151+FB145+FF145+FJ143+FN138+FR138+FV136+FZ136+GD135+GH131+GL114+GP111+GT108+GX107+HB107+HF103+HJ102+HN102+HR101+HV97+HZ97+ID96+IL82+IP81+IT75+IX75+JB69+JF58+JJ53+JN53+JR52+JV47+KP9</f>
        <v>4964447.1526666125</v>
      </c>
      <c r="B475" s="20">
        <v>43169</v>
      </c>
    </row>
    <row r="476" spans="1:2" x14ac:dyDescent="0.25">
      <c r="A476" s="15">
        <f t="shared" si="227"/>
        <v>4964783.4599586017</v>
      </c>
      <c r="B476" s="20">
        <v>43170</v>
      </c>
    </row>
    <row r="477" spans="1:2" x14ac:dyDescent="0.25">
      <c r="A477" s="15">
        <f>+AH228+AL221+AP218+AT218+AX216+BB216+BF215+BJ211+BN211+BR204+BV195+BZ195+CD194+CH194+CL190+CP188+CT188+CX186+DB181+DF180+DJ180+DN173+DV169+DZ167+ED165+EH160+EL155+EP154+ET154+EX153+FB147+FF147+FJ145+FN140+FR140+FV138+FZ138+GD137+GH133+GL116+GP113+GT110+GX109+HB109+HF105+HJ104+HN104+HR103+HV99+HZ99+ID98+IL84+IP83+IT77+IX77+JB71+JF60+JJ55+JN55+JR54+JV49+KP11+KT8</f>
        <v>8266773.2829790823</v>
      </c>
      <c r="B477" s="20">
        <v>43171</v>
      </c>
    </row>
    <row r="478" spans="1:2" x14ac:dyDescent="0.25">
      <c r="A478" s="15">
        <f t="shared" ref="A478" si="228">+AH229+AL222+AP219+AT219+AX217+BB217+BF216+BJ212+BN212+BR205+BV196+BZ196+CD195+CH195+CL191+CP189+CT189+CX187+DB182+DF181+DJ181+DN174+DV170+DZ168+ED166+EH161+EL156+EP155+ET155+EX154+FB148+FF148+FJ146+FN141+FR141+FV139+FZ139+GD138+GH134+GL117+GP114+GT111+GX110+HB110+HF106+HJ105+HN105+HR104+HV100+HZ100+ID99+IL85+IP84+IT78+IX78+JB72+JF61+JJ56+JN56+JR55+JV50+KP12+KT9</f>
        <v>8267320.9902733564</v>
      </c>
      <c r="B478" s="20">
        <v>43172</v>
      </c>
    </row>
    <row r="479" spans="1:2" x14ac:dyDescent="0.25">
      <c r="A479" s="15">
        <f>+AH230+AL223+AP220+AT220+AX218+BB218+BF217+BJ213+BN213+BR206+BV197+BZ197+CD196+CH196+CL192+CP190+CT190+CX188+DB183+DF182+DJ182+DN175+DV171+DZ169+ED167+EH162+EL157+EP156+ET156+EX155+FB149+FF149+FJ147+FN142+FR142+FV140+FZ140+GD139+GH135+GL118+GP115+GT112+GX111+HB111+HF107+HJ106+HN106+HR105+HV101+HZ101+ID100+IL86+IP85+IT79+IX79+JB73+JF62+JJ57+JN57+JR56+JV51+KP13+KT10+KX8</f>
        <v>11251615.260364411</v>
      </c>
      <c r="B479" s="20">
        <v>43173</v>
      </c>
    </row>
    <row r="480" spans="1:2" x14ac:dyDescent="0.25">
      <c r="A480" s="15">
        <f t="shared" ref="A480:A490" si="229">+AH231+AL224+AP221+AT221+AX219+BB219+BF218+BJ214+BN214+BR207+BV198+BZ198+CD197+CH197+CL193+CP191+CT191+CX189+DB184+DF183+DJ183+DN176+DV172+DZ170+ED168+EH163+EL158+EP157+ET157+EX156+FB150+FF150+FJ148+FN143+FR143+FV141+FZ141+GD140+GH136+GL119+GP116+GT113+GX112+HB112+HF108+HJ107+HN107+HR106+HV102+HZ102+ID101+IL87+IP86+IT80+IX80+JB74+JF63+JJ58+JN58+JR57+JV52+KP14+KT11+KX9</f>
        <v>11252347.822469041</v>
      </c>
      <c r="B480" s="20">
        <v>43174</v>
      </c>
    </row>
    <row r="481" spans="1:2" x14ac:dyDescent="0.25">
      <c r="A481" s="15">
        <f t="shared" si="229"/>
        <v>11253080.480269879</v>
      </c>
      <c r="B481" s="20">
        <v>43175</v>
      </c>
    </row>
    <row r="482" spans="1:2" x14ac:dyDescent="0.25">
      <c r="A482" s="15">
        <f t="shared" si="229"/>
        <v>11253813.233785741</v>
      </c>
      <c r="B482" s="20">
        <v>43176</v>
      </c>
    </row>
    <row r="483" spans="1:2" x14ac:dyDescent="0.25">
      <c r="A483" s="15">
        <f t="shared" si="229"/>
        <v>11254546.083035443</v>
      </c>
      <c r="B483" s="20">
        <v>43177</v>
      </c>
    </row>
    <row r="484" spans="1:2" x14ac:dyDescent="0.25">
      <c r="A484" s="15">
        <f t="shared" si="229"/>
        <v>11255279.028037809</v>
      </c>
      <c r="B484" s="20">
        <v>43178</v>
      </c>
    </row>
    <row r="485" spans="1:2" x14ac:dyDescent="0.25">
      <c r="A485" s="15">
        <f t="shared" si="229"/>
        <v>11256012.068811664</v>
      </c>
      <c r="B485" s="20">
        <v>43179</v>
      </c>
    </row>
    <row r="486" spans="1:2" x14ac:dyDescent="0.25">
      <c r="A486" s="15">
        <f t="shared" si="229"/>
        <v>11256745.205375846</v>
      </c>
      <c r="B486" s="20">
        <v>43180</v>
      </c>
    </row>
    <row r="487" spans="1:2" x14ac:dyDescent="0.25">
      <c r="A487" s="15">
        <f t="shared" si="229"/>
        <v>11257478.437749192</v>
      </c>
      <c r="B487" s="20">
        <v>43181</v>
      </c>
    </row>
    <row r="488" spans="1:2" x14ac:dyDescent="0.25">
      <c r="A488" s="15">
        <f t="shared" si="229"/>
        <v>11258211.765950546</v>
      </c>
      <c r="B488" s="20">
        <v>43182</v>
      </c>
    </row>
    <row r="489" spans="1:2" x14ac:dyDescent="0.25">
      <c r="A489" s="15">
        <f t="shared" si="229"/>
        <v>11258945.189998752</v>
      </c>
      <c r="B489" s="20">
        <v>43183</v>
      </c>
    </row>
    <row r="490" spans="1:2" x14ac:dyDescent="0.25">
      <c r="A490" s="15">
        <f t="shared" si="229"/>
        <v>11259678.709912667</v>
      </c>
      <c r="B490" s="20">
        <v>43184</v>
      </c>
    </row>
    <row r="491" spans="1:2" x14ac:dyDescent="0.25">
      <c r="A491" s="15">
        <f>+AH242+AL235+AP232+AT232+AX230+BB230+BF229+BJ225+BN225+BR218+BV209+BZ209+CD208+CH208+CL204+CP202+CT202+CX200+DB195+DF194+DJ194+DN187+DV183+DZ181+ED179+EH174+EL169+EP168+ET168+EX167+FB161+FF161+FJ159+FN154+FR154+FV152+FZ152+GD151+GH147+GL130+GP127+GT124+GX123+HB123+HF119+HJ118+HN118+HR117+HV113+HZ113+ID112+IL98+IP97+IT91+IX91+JB85+JF74+JJ69+JN69+JR68+JV63+KP25+KT22+KX20+LB8</f>
        <v>13886948.535711151</v>
      </c>
      <c r="B491" s="20">
        <v>43185</v>
      </c>
    </row>
    <row r="492" spans="1:2" x14ac:dyDescent="0.25">
      <c r="A492" s="15">
        <f t="shared" ref="A492:A493" si="230">+AH243+AL236+AP233+AT233+AX231+BB231+BF230+BJ226+BN226+BR219+BV210+BZ210+CD209+CH209+CL205+CP203+CT203+CX201+DB196+DF195+DJ195+DN188+DV184+DZ182+ED180+EH175+EL170+EP169+ET169+EX168+FB162+FF162+FJ160+FN155+FR155+FV153+FZ153+GD152+GH148+GL131+GP128+GT125+GX124+HB124+HF120+HJ119+HN119+HR118+HV114+HZ114+ID113+IL99+IP98+IT92+IX92+JB86+JF75+JJ70+JN70+JR69+JV64+KP26+KT23+KX21+LB9</f>
        <v>13887882.418168046</v>
      </c>
      <c r="B492" s="20">
        <v>43186</v>
      </c>
    </row>
    <row r="493" spans="1:2" x14ac:dyDescent="0.25">
      <c r="A493" s="15">
        <f t="shared" si="230"/>
        <v>13888816.427059961</v>
      </c>
      <c r="B493" s="20">
        <v>43187</v>
      </c>
    </row>
    <row r="494" spans="1:2" x14ac:dyDescent="0.25">
      <c r="A494" s="15">
        <f>+AH245+AL238+AP235+AT235+AX233+BB233+BF232+BJ228+BN228+BR221+BV212+BZ212+CD211+CH211+CL207+CP205+CT205+CX203+DB198+DF197+DJ197+DN190+DV186+DZ184+ED182+EH177+EL172+EP171+ET171+EX170+FB164+FF164+FJ162+FN157+FR157+FV155+FZ155+GD154+GH150+GL133+GP130+GT127+GX126+HB126+HF122+HJ121+HN121+HR120+HV116+HZ116+ID115+IL101+IP100+IT94+IX94+JB88+JF77+JJ72+JN72+JR71+JV66+KP28+KT25+KX23+LB11+LF8</f>
        <v>14883318.202412751</v>
      </c>
      <c r="B494" s="20">
        <v>43188</v>
      </c>
    </row>
    <row r="495" spans="1:2" x14ac:dyDescent="0.25">
      <c r="A495" s="15">
        <f t="shared" ref="A495:A497" si="231">+AH246+AL239+AP236+AT236+AX234+BB234+BF233+BJ229+BN229+BR222+BV213+BZ213+CD212+CH212+CL208+CP206+CT206+CX204+DB199+DF198+DJ198+DN191+DV187+DZ185+ED183+EH178+EL173+EP172+ET172+EX171+FB165+FF165+FJ163+FN158+FR158+FV156+FZ156+GD155+GH151+GL134+GP131+GT128+GX127+HB127+HF123+HJ122+HN122+HR121+HV117+HZ117+ID116+IL102+IP101+IT95+IX95+JB89+JF78+JJ73+JN73+JR72+JV67+KP29+KT26+KX24+LB12+LF9</f>
        <v>14884341.680126062</v>
      </c>
      <c r="B495" s="20">
        <v>43189</v>
      </c>
    </row>
    <row r="496" spans="1:2" x14ac:dyDescent="0.25">
      <c r="A496" s="15">
        <f t="shared" si="231"/>
        <v>14885365.300375409</v>
      </c>
      <c r="B496" s="20">
        <v>43190</v>
      </c>
    </row>
    <row r="497" spans="1:2" x14ac:dyDescent="0.25">
      <c r="A497" s="15">
        <f t="shared" si="231"/>
        <v>14886389.063190982</v>
      </c>
      <c r="B497" s="20">
        <v>43191</v>
      </c>
    </row>
    <row r="498" spans="1:2" x14ac:dyDescent="0.25">
      <c r="A498" s="15">
        <f>+AH249+AL242+AP239+AT239+AX237+BB237+BF236+BJ232+BN232+BR225+BV216+BZ216+CD215+CH215+CL211+CP209+CT209+CX207+DB202+DF201+DJ201+DN194+DV190+DZ188+ED186+EH181+EL176+EP175+ET175+EX174+FB168+FF168+FJ166+FN161+FR161+FV159+FZ159+GD158+GH154+GL137+GP134+GT131+GX130+HB130+HF126+HJ125+HN125+HR124+HV120+HZ120+ID119+IL105+IP104+IT98+IX98+JB92+JF81+JJ76+JN76+JR75+JV70+KP32+KT29+KX27+LB15+LF12+LJ8</f>
        <v>14051076.429736085</v>
      </c>
      <c r="B498" s="20">
        <v>43192</v>
      </c>
    </row>
    <row r="499" spans="1:2" x14ac:dyDescent="0.25">
      <c r="A499" s="15">
        <f t="shared" ref="A499:A500" si="232">+AH250+AL243+AP240+AT240+AX238+BB238+BF237+BJ233+BN233+BR226+BV217+BZ217+CD216+CH216+CL212+CP210+CT210+CX208+DB203+DF202+DJ202+DN195+DV191+DZ189+ED187+EH182+EL177+EP176+ET176+EX175+FB169+FF169+FJ167+FN162+FR162+FV160+FZ160+GD159+GH155+GL138+GP135+GT132+GX131+HB131+HF127+HJ126+HN126+HR125+HV121+HZ121+ID120+IL106+IP105+IT99+IX99+JB93+JF82+JJ77+JN77+JR76+JV71+KP33+KT30+KX28+LB16+LF13+LJ9</f>
        <v>12396544.775470532</v>
      </c>
      <c r="B499" s="20">
        <v>43193</v>
      </c>
    </row>
    <row r="500" spans="1:2" x14ac:dyDescent="0.25">
      <c r="A500" s="15">
        <f t="shared" si="232"/>
        <v>12397402.45888187</v>
      </c>
      <c r="B500" s="20">
        <v>43194</v>
      </c>
    </row>
    <row r="501" spans="1:2" x14ac:dyDescent="0.25">
      <c r="A501" s="15">
        <f>+AH252+AL245+AP242+AT242+AX240+BB240+BF239+BJ235+BN235+BR228+BV219+BZ219+CD218+CH218+CL214+CP212+CT212+CX210+DB205+DF204+DJ204+DN197+DV193+DZ191+ED189+EH184+EL179+EP178+ET178+EX177+FB171+FF171+FJ169+FN164+FR164+FV162+FZ162+GD161+GH157+GL140+GP137+GT134+GX133+HB133+HF129+HJ128+HN128+HR127+HV123+HZ123+ID122+IL108+IP107+IT101+IX101+JB95+JF84+JJ79+JN79+JR78+JV73+KP35+KT32+KX30+LB18+LF15+LJ11+LN8</f>
        <v>13140880.182575928</v>
      </c>
      <c r="B501" s="20">
        <v>43195</v>
      </c>
    </row>
    <row r="502" spans="1:2" x14ac:dyDescent="0.25">
      <c r="A502" s="15">
        <f t="shared" ref="A502:A513" si="233">+AH253+AL246+AP243+AT243+AX241+BB241+BF240+BJ236+BN236+BR229+BV220+BZ220+CD219+CH219+CL215+CP213+CT213+CX211+DB206+DF205+DJ205+DN198+DV194+DZ192+ED190+EH185+EL180+EP179+ET179+EX178+FB172+FF172+FJ170+FN165+FR165+FV163+FZ163+GD162+GH158+GL141+GP138+GT135+GX134+HB134+HF130+HJ129+HN129+HR128+HV124+HZ124+ID123+IL109+IP108+IT102+IX102+JB96+JF85+JJ80+JN80+JR79+JV74+KP36+KT33+KX31+LB19+LF16+LJ12+LN9</f>
        <v>13141791.02248174</v>
      </c>
      <c r="B502" s="20">
        <v>43196</v>
      </c>
    </row>
    <row r="503" spans="1:2" x14ac:dyDescent="0.25">
      <c r="A503" s="15">
        <f t="shared" si="233"/>
        <v>13142701.990263294</v>
      </c>
      <c r="B503" s="20">
        <v>43197</v>
      </c>
    </row>
    <row r="504" spans="1:2" x14ac:dyDescent="0.25">
      <c r="A504" s="15">
        <f t="shared" si="233"/>
        <v>13143613.085947901</v>
      </c>
      <c r="B504" s="20">
        <v>43198</v>
      </c>
    </row>
    <row r="505" spans="1:2" x14ac:dyDescent="0.25">
      <c r="A505" s="15">
        <f t="shared" si="233"/>
        <v>13144524.309562871</v>
      </c>
      <c r="B505" s="20">
        <v>43199</v>
      </c>
    </row>
    <row r="506" spans="1:2" x14ac:dyDescent="0.25">
      <c r="A506" s="15">
        <f t="shared" si="233"/>
        <v>13145435.661135528</v>
      </c>
      <c r="B506" s="20">
        <v>43200</v>
      </c>
    </row>
    <row r="507" spans="1:2" x14ac:dyDescent="0.25">
      <c r="A507" s="15">
        <f t="shared" si="233"/>
        <v>13146347.140693208</v>
      </c>
      <c r="B507" s="20">
        <v>43201</v>
      </c>
    </row>
    <row r="508" spans="1:2" x14ac:dyDescent="0.25">
      <c r="A508" s="15">
        <f t="shared" si="233"/>
        <v>13147258.748263242</v>
      </c>
      <c r="B508" s="20">
        <v>43202</v>
      </c>
    </row>
    <row r="509" spans="1:2" x14ac:dyDescent="0.25">
      <c r="A509" s="15">
        <f t="shared" si="233"/>
        <v>13148170.483872982</v>
      </c>
      <c r="B509" s="20">
        <v>43203</v>
      </c>
    </row>
    <row r="510" spans="1:2" x14ac:dyDescent="0.25">
      <c r="A510" s="15">
        <f t="shared" si="233"/>
        <v>13149082.347549783</v>
      </c>
      <c r="B510" s="20">
        <v>43204</v>
      </c>
    </row>
    <row r="511" spans="1:2" x14ac:dyDescent="0.25">
      <c r="A511" s="15">
        <f t="shared" si="233"/>
        <v>13149994.339321002</v>
      </c>
      <c r="B511" s="20">
        <v>43205</v>
      </c>
    </row>
    <row r="512" spans="1:2" x14ac:dyDescent="0.25">
      <c r="A512" s="15">
        <f t="shared" si="233"/>
        <v>13150906.459214015</v>
      </c>
      <c r="B512" s="20">
        <v>43206</v>
      </c>
    </row>
    <row r="513" spans="1:2" x14ac:dyDescent="0.25">
      <c r="A513" s="15">
        <f t="shared" si="233"/>
        <v>13151818.707256196</v>
      </c>
      <c r="B513" s="20">
        <v>43207</v>
      </c>
    </row>
    <row r="514" spans="1:2" x14ac:dyDescent="0.25">
      <c r="A514" s="15">
        <f>+AH265+AL258+AP255+AT255+AX253+BB253+BF252+BJ248+BN248+BR241+BV232+BZ232+CD231+CH231+CL227+CP225+CT225+CX223+DB218+DF217+DJ217+DN210+DV206+DZ204+ED202+EH197+EL192+EP191+ET191+EX190+FB184+FF184+FJ182+FN177+FR177+FV175+FZ175+GD174+GH170+GL153+GP150+GT147+GX146+HB146+HF142+HJ141+HN141+HR140+HV136+HZ136+ID135+IL121+IP120+IT114+IX114+JB108+JF97+JJ92+JN92+JR91+JV86+KP48+KT45+KX43+LB31+LF28+LJ24+LN21+LR8</f>
        <v>14929436.506615777</v>
      </c>
      <c r="B514" s="20">
        <v>43208</v>
      </c>
    </row>
    <row r="515" spans="1:2" x14ac:dyDescent="0.25">
      <c r="A515" s="15">
        <f t="shared" ref="A515:A518" si="234">+AH266+AL259+AP256+AT256+AX254+BB254+BF253+BJ249+BN249+BR242+BV233+BZ233+CD232+CH232+CL228+CP226+CT226+CX224+DB219+DF218+DJ218+DN211+DV207+DZ205+ED203+EH198+EL193+EP192+ET192+EX191+FB185+FF185+FJ183+FN178+FR178+FV176+FZ176+GD175+GH171+GL154+GP151+GT148+GX147+HB147+HF143+HJ142+HN142+HR141+HV137+HZ137+ID136+IL122+IP121+IT115+IX115+JB109+JF98+JJ93+JN93+JR92+JV87+KP49+KT46+KX44+LB32+LF29+LJ25+LN22+LR9</f>
        <v>14930437.378570806</v>
      </c>
      <c r="B515" s="20">
        <v>43209</v>
      </c>
    </row>
    <row r="516" spans="1:2" x14ac:dyDescent="0.25">
      <c r="A516" s="15">
        <f t="shared" si="234"/>
        <v>14931438.385483634</v>
      </c>
      <c r="B516" s="20">
        <v>43210</v>
      </c>
    </row>
    <row r="517" spans="1:2" x14ac:dyDescent="0.25">
      <c r="A517" s="15">
        <f t="shared" si="234"/>
        <v>14932439.527381709</v>
      </c>
      <c r="B517" s="20">
        <v>43211</v>
      </c>
    </row>
    <row r="518" spans="1:2" x14ac:dyDescent="0.25">
      <c r="A518" s="15">
        <f t="shared" si="234"/>
        <v>14933440.804292507</v>
      </c>
      <c r="B518" s="20">
        <v>43212</v>
      </c>
    </row>
    <row r="519" spans="1:2" x14ac:dyDescent="0.25">
      <c r="A519" s="15">
        <f>+AH270+AL263+AP260+AT260+AX258+BB258+BF257+BJ253+BN253+BR246+BV237+BZ237+CD236+CH236+CL232+CP230+CT230+CX228+DB223+DF222+DJ222+DN215+DV211+DZ209+ED207+EH202+EL197+EP196+ET196+EX195+FB189+FF189+FJ187+FN182+FR182+FV180+FZ180+GD179+GH175+GL158+GP155+GT152+GX151+HB151+HF147+HJ146+HN146+HR145+HV141+HZ141+ID140+IL126+IP125+IT119+IX119+JB113+JF102+JJ97+JN97+JR96+JV91+KP53+KT50+KX48+LB36+LF33+LJ29+LN26+LR13+LV8</f>
        <v>15766405.036243496</v>
      </c>
      <c r="B519" s="20">
        <v>43213</v>
      </c>
    </row>
    <row r="520" spans="1:2" x14ac:dyDescent="0.25">
      <c r="A520" s="15">
        <f t="shared" ref="A520:A525" si="235">+AH271+AL264+AP261+AT261+AX259+BB259+BF258+BJ254+BN254+BR247+BV238+BZ238+CD237+CH237+CL233+CP231+CT231+CX229+DB224+DF223+DJ223+DN216+DV212+DZ210+ED208+EH203+EL198+EP197+ET197+EX196+FB190+FF190+FJ188+FN183+FR183+FV181+FZ181+GD180+GH176+GL159+GP156+GT153+GX152+HB152+HF148+HJ147+HN147+HR146+HV142+HZ142+ID141+IL127+IP126+IT120+IX120+JB114+JF103+JJ98+JN98+JR97+JV92+KP54+KT51+KX49+LB37+LF34+LJ30+LN27+LR14+LV9</f>
        <v>15767463.778772639</v>
      </c>
      <c r="B520" s="20">
        <v>43214</v>
      </c>
    </row>
    <row r="521" spans="1:2" x14ac:dyDescent="0.25">
      <c r="A521" s="15">
        <f t="shared" si="235"/>
        <v>12776998.647547988</v>
      </c>
      <c r="B521" s="20">
        <v>43215</v>
      </c>
    </row>
    <row r="522" spans="1:2" x14ac:dyDescent="0.25">
      <c r="A522" s="15">
        <f t="shared" si="235"/>
        <v>12777872.002601141</v>
      </c>
      <c r="B522" s="20">
        <v>43216</v>
      </c>
    </row>
    <row r="523" spans="1:2" x14ac:dyDescent="0.25">
      <c r="A523" s="15">
        <f t="shared" si="235"/>
        <v>12778745.477622729</v>
      </c>
      <c r="B523" s="20">
        <v>43217</v>
      </c>
    </row>
    <row r="524" spans="1:2" x14ac:dyDescent="0.25">
      <c r="A524" s="15">
        <f t="shared" si="235"/>
        <v>12779619.072637599</v>
      </c>
      <c r="B524" s="20">
        <v>43218</v>
      </c>
    </row>
    <row r="525" spans="1:2" x14ac:dyDescent="0.25">
      <c r="A525" s="15">
        <f t="shared" si="235"/>
        <v>12780492.787670594</v>
      </c>
      <c r="B525" s="20">
        <v>43219</v>
      </c>
    </row>
    <row r="526" spans="1:2" x14ac:dyDescent="0.25">
      <c r="A526" s="15">
        <f>+AH277+AL270+AP267+AT267+AX265+BB265+BF264+BJ260+BN260+BR253+BV244+BZ244+CD243+CH243+CL239+CP237+CT237+CX235+DB230+DF229+DJ229+DN222+DV218+DZ216+ED214+EH209+EL204+EP203+ET203+EX202+FB196+FF196+FJ194+FN189+FR189+FV187+FZ187+GD186+GH182+GL165+GP162+GT159+GX158+HB158+HF154+HJ153+HN153+HR152+HV148+HZ148+ID147+IL133+IP132+IT126+IX126+JB120+JF109+JJ104+JN104+JR103+JV98+KP60+KT57+KX55+LB43+LF40+LJ36+LN33+LR20+LV15+LZ8</f>
        <v>13755778.502746573</v>
      </c>
      <c r="B526" s="20">
        <v>43220</v>
      </c>
    </row>
    <row r="527" spans="1:2" x14ac:dyDescent="0.25">
      <c r="A527" s="15">
        <f t="shared" ref="A527" si="236">+AH278+AL271+AP268+AT268+AX266+BB266+BF265+BJ261+BN261+BR254+BV245+BZ245+CD244+CH244+CL240+CP238+CT238+CX236+DB231+DF230+DJ230+DN223+DV219+DZ217+ED215+EH210+EL205+EP204+ET204+EX203+FB197+FF197+FJ195+FN190+FR190+FV188+FZ188+GD187+GH183+GL166+GP163+GT160+GX159+HB159+HF155+HJ154+HN154+HR153+HV149+HZ149+ID148+IL134+IP133+IT127+IX127+JB121+JF110+JJ105+JN105+JR104+JV99+KP61+KT58+KX56+LB44+LF41+LJ37+LN34+LR21+LV16+LZ9</f>
        <v>13756718.440564828</v>
      </c>
      <c r="B527" s="20">
        <v>43221</v>
      </c>
    </row>
    <row r="528" spans="1:2" x14ac:dyDescent="0.25">
      <c r="A528" s="15">
        <f>+AH279+AL272+AP269+AT269+AX267+BB267+BF266+BJ262+BN262+BR255+BV246+BZ246+CD245+CH245+CL241+CP239+CT239+CX237+DB232+DF231+DJ231+DN224+DV220+DZ218+ED216+EH211+EL206+EP205+ET205+EX204+FB198+FF198+FJ196+FN191+FR191+FV189+FZ189+GD188+GH184+GL167+GP164+GT161+GX160+HB160+HF156+HJ155+HN155+HR154+HV150+HZ150+ID149+IL135+IP134+IT128+IX128+JB122+JF111+JJ106+JN106+JR105+JV100+KP62+KT59+KX57+LB45+LF42+LJ38+LN35+LR22+LV17+LZ10+MD8</f>
        <v>13306445.885372298</v>
      </c>
      <c r="B528" s="20">
        <v>43222</v>
      </c>
    </row>
    <row r="529" spans="1:2" x14ac:dyDescent="0.25">
      <c r="A529" s="15">
        <f t="shared" ref="A529:A534" si="237">+AH280+AL273+AP270+AT270+AX268+BB268+BF267+BJ263+BN263+BR256+BV247+BZ247+CD246+CH246+CL242+CP240+CT240+CX238+DB233+DF232+DJ232+DN225+DV221+DZ219+ED217+EH212+EL207+EP206+ET206+EX205+FB199+FF199+FJ197+FN192+FR192+FV190+FZ190+GD189+GH185+GL168+GP165+GT162+GX161+HB161+HF157+HJ156+HN156+HR155+HV151+HZ151+ID150+IL136+IP135+IT129+IX129+JB123+JF112+JJ107+JN107+JR106+JV101+KP63+KT60+KX58+LB46+LF43+LJ39+LN36+LR23+LV18+LZ11+MD9+MH8</f>
        <v>15077954.808426425</v>
      </c>
      <c r="B529" s="20">
        <v>43223</v>
      </c>
    </row>
    <row r="530" spans="1:2" x14ac:dyDescent="0.25">
      <c r="A530" s="15">
        <f t="shared" si="237"/>
        <v>15078984.394343469</v>
      </c>
      <c r="B530" s="20">
        <v>43224</v>
      </c>
    </row>
    <row r="531" spans="1:2" x14ac:dyDescent="0.25">
      <c r="A531" s="15">
        <f t="shared" si="237"/>
        <v>15080014.121460738</v>
      </c>
      <c r="B531" s="20">
        <v>43225</v>
      </c>
    </row>
    <row r="532" spans="1:2" x14ac:dyDescent="0.25">
      <c r="A532" s="15">
        <f t="shared" si="237"/>
        <v>15081043.989807408</v>
      </c>
      <c r="B532" s="20">
        <v>43226</v>
      </c>
    </row>
    <row r="533" spans="1:2" x14ac:dyDescent="0.25">
      <c r="A533" s="15">
        <f t="shared" si="237"/>
        <v>14249309.725991163</v>
      </c>
      <c r="B533" s="20">
        <v>43227</v>
      </c>
    </row>
    <row r="534" spans="1:2" x14ac:dyDescent="0.25">
      <c r="A534" s="15">
        <f t="shared" si="237"/>
        <v>14250282.571120713</v>
      </c>
      <c r="B534" s="20">
        <v>43228</v>
      </c>
    </row>
    <row r="535" spans="1:2" x14ac:dyDescent="0.25">
      <c r="A535" s="15">
        <f>+AH286+AL279+AP276+AT276+AX274+BB274+BF273+BJ269+BN269+BR262+BV253+BZ253+CD252+CH252+CL248+CP246+CT246+CX244+DB239+DF238+DJ238+DN231+DV227+DZ225+ED223+EH218+EL213+EP212+ET212+EX211+FB205+FF205+FJ203+FN198+FR198+FV196+FZ196+GD195+GH191+GL174+GP171+GT168+GX167+HB167+HF163+HJ162+HN162+HR161+HV157+HZ157+ID156+IL142+IP141+IT135+IX135+JB129+JF118+JJ113+JN113+JR112+JV107+KP69+KT66+KX64+LB52+LF49+LJ45+LN42+LR29+LV24+LZ17+MD15+MH14+ML8</f>
        <v>15832362.45967982</v>
      </c>
      <c r="B535" s="20">
        <v>43229</v>
      </c>
    </row>
    <row r="536" spans="1:2" x14ac:dyDescent="0.25">
      <c r="A536" s="15">
        <f t="shared" ref="A536" si="238">+AH287+AL280+AP277+AT277+AX275+BB275+BF274+BJ270+BN270+BR263+BV254+BZ254+CD253+CH253+CL249+CP247+CT247+CX245+DB240+DF239+DJ239+DN232+DV228+DZ226+ED224+EH219+EL214+EP213+ET213+EX212+FB206+FF206+FJ204+FN199+FR199+FV197+FZ197+GD196+GH192+GL175+GP172+GT169+GX168+HB168+HF164+HJ163+HN163+HR162+HV158+HZ158+ID157+IL143+IP142+IT136+IX136+JB130+JF119+JJ114+JN114+JR113+JV108+KP70+KT67+KX65+LB53+LF50+LJ46+LN43+LR30+LV25+LZ18+MD16+MH15+ML9</f>
        <v>15833437.563287243</v>
      </c>
      <c r="B536" s="20">
        <v>43230</v>
      </c>
    </row>
    <row r="537" spans="1:2" x14ac:dyDescent="0.25">
      <c r="A537" s="15">
        <f>+AH288+AL281+AP278+AT278+AX276+BB276+BF275+BJ271+BN271+BR264+BV255+BZ255+CD254+CH254+CL250+CP248+CT248+CX246+DB241+DF240+DJ240+DN233+DV229+DZ227+ED225+EH220+EL215+EP214+ET214+EX213+FB207+FF207+FJ205+FN200+FR200+FV198+FZ198+GD197+GH193+GL176+GP173+GT170+GX169+HB169+HF165+HJ164+HN164+HR163+HV159+HZ159+ID158+IL144+IP143+IT137+IX137+JB131+JF120+JJ115+JN115+JR114+JV109+KP71+KT68+KX66+LB54+LF51+LJ47+LN44+LR31+LV26+LZ19+MD17+MH16+ML10+MP8</f>
        <v>14801637.787540119</v>
      </c>
      <c r="B537" s="20">
        <v>43231</v>
      </c>
    </row>
    <row r="538" spans="1:2" x14ac:dyDescent="0.25">
      <c r="A538" s="15">
        <f t="shared" ref="A538:A539" si="239">+AH289+AL282+AP279+AT279+AX277+BB277+BF276+BJ272+BN272+BR265+BV256+BZ256+CD255+CH255+CL251+CP249+CT249+CX247+DB242+DF241+DJ241+DN234+DV230+DZ228+ED226+EH221+EL216+EP215+ET215+EX214+FB208+FF208+FJ206+FN201+FR201+FV199+FZ199+GD198+GH194+GL177+GP174+GT171+GX170+HB170+HF166+HJ165+HN165+HR164+HV160+HZ160+ID159+IL145+IP144+IT138+IX138+JB132+JF121+JJ116+JN116+JR115+JV110+KP72+KT69+KX67+LB55+LF52+LJ48+LN45+LR32+LV27+LZ20+MD18+MH17+ML11+MP9</f>
        <v>14802654.801353667</v>
      </c>
      <c r="B538" s="20">
        <v>43232</v>
      </c>
    </row>
    <row r="539" spans="1:2" x14ac:dyDescent="0.25">
      <c r="A539" s="15">
        <f t="shared" si="239"/>
        <v>14803671.955827245</v>
      </c>
      <c r="B539" s="20">
        <v>43233</v>
      </c>
    </row>
    <row r="540" spans="1:2" x14ac:dyDescent="0.25">
      <c r="A540" s="15">
        <f>+AH291+AL284+AP281+AT281+AX279+BB279+BF278+BJ274+BN274+BR267+BV258+BZ258+CD257+CH257+CL253+CP251+CT251+CX249+DB244+DF243+DJ243+DN236+DV232+DZ230+ED228+EH223+EL218+EP217+ET217+EX216+FB210+FF210+FJ208+FN203+FR203+FV201+FZ201+GD200+GH196+GL179+GP176+GT173+GX172+HB172+HF168+HJ167+HN167+HR166+HV162+HZ162+ID161+IL147+IP146+IT140+IX140+JB134+JF123+JJ118+JN118+JR117+JV112+KP74+KT71+KX69+LB57+LF54+LJ50+LN47+LR34+LV29+LZ22+MD20+MH19+ML13+MP11+MT8</f>
        <v>16244879.860990241</v>
      </c>
      <c r="B540" s="20">
        <v>43234</v>
      </c>
    </row>
    <row r="541" spans="1:2" x14ac:dyDescent="0.25">
      <c r="A541" s="15">
        <f t="shared" ref="A541:A591" si="240">+AH292+AL285+AP282+AT282+AX280+BB280+BF279+BJ275+BN275+BR268+BV259+BZ259+CD258+CH258+CL254+CP252+CT252+CX250+DB245+DF244+DJ244+DN237+DV233+DZ231+ED229+EH224+EL219+EP218+ET218+EX217+FB211+FF211+FJ209+FN204+FR204+FV202+FZ202+GD201+GH197+GL180+GP177+GT174+GX173+HB173+HF169+HJ168+HN168+HR167+HV163+HZ163+ID162+IL148+IP147+IT141+IX141+JB135+JF124+JJ119+JN119+JR118+JV113+KP75+KT72+KX70+LB58+LF55+LJ51+LN48+LR35+LV30+LZ23+MD21+MH20+ML14+MP12+MT9</f>
        <v>16245997.969273372</v>
      </c>
      <c r="B541" s="20">
        <v>43235</v>
      </c>
    </row>
    <row r="542" spans="1:2" x14ac:dyDescent="0.25">
      <c r="A542" s="15">
        <f t="shared" si="240"/>
        <v>16247116.232380109</v>
      </c>
      <c r="B542" s="20">
        <v>43236</v>
      </c>
    </row>
    <row r="543" spans="1:2" x14ac:dyDescent="0.25">
      <c r="A543" s="15">
        <f t="shared" si="240"/>
        <v>16248234.650342809</v>
      </c>
      <c r="B543" s="20">
        <v>43237</v>
      </c>
    </row>
    <row r="544" spans="1:2" x14ac:dyDescent="0.25">
      <c r="A544" s="15">
        <f t="shared" si="240"/>
        <v>16249353.22319383</v>
      </c>
      <c r="B544" s="20">
        <v>43238</v>
      </c>
    </row>
    <row r="545" spans="1:2" x14ac:dyDescent="0.25">
      <c r="A545" s="15">
        <f t="shared" si="240"/>
        <v>16250471.95096555</v>
      </c>
      <c r="B545" s="20">
        <v>43239</v>
      </c>
    </row>
    <row r="546" spans="1:2" x14ac:dyDescent="0.25">
      <c r="A546" s="15">
        <f t="shared" si="240"/>
        <v>16251590.833690338</v>
      </c>
      <c r="B546" s="20">
        <v>43240</v>
      </c>
    </row>
    <row r="547" spans="1:2" x14ac:dyDescent="0.25">
      <c r="A547" s="15">
        <f t="shared" si="240"/>
        <v>16252709.871400598</v>
      </c>
      <c r="B547" s="20">
        <v>43241</v>
      </c>
    </row>
    <row r="548" spans="1:2" x14ac:dyDescent="0.25">
      <c r="A548" s="15">
        <f t="shared" si="240"/>
        <v>16253829.064128717</v>
      </c>
      <c r="B548" s="20">
        <v>43242</v>
      </c>
    </row>
    <row r="549" spans="1:2" x14ac:dyDescent="0.25">
      <c r="A549" s="15">
        <f t="shared" si="240"/>
        <v>16254948.411907112</v>
      </c>
      <c r="B549" s="20">
        <v>43243</v>
      </c>
    </row>
    <row r="550" spans="1:2" x14ac:dyDescent="0.25">
      <c r="A550" s="15">
        <f t="shared" si="240"/>
        <v>16256067.914768193</v>
      </c>
      <c r="B550" s="20">
        <v>43244</v>
      </c>
    </row>
    <row r="551" spans="1:2" x14ac:dyDescent="0.25">
      <c r="A551" s="15">
        <f t="shared" si="240"/>
        <v>13478529.425587067</v>
      </c>
      <c r="B551" s="20">
        <v>43245</v>
      </c>
    </row>
    <row r="552" spans="1:2" x14ac:dyDescent="0.25">
      <c r="A552" s="15">
        <f t="shared" si="240"/>
        <v>13479470.486124955</v>
      </c>
      <c r="B552" s="20">
        <v>43246</v>
      </c>
    </row>
    <row r="553" spans="1:2" x14ac:dyDescent="0.25">
      <c r="A553" s="15">
        <f t="shared" si="240"/>
        <v>13480411.678842852</v>
      </c>
      <c r="B553" s="20">
        <v>43247</v>
      </c>
    </row>
    <row r="554" spans="1:2" x14ac:dyDescent="0.25">
      <c r="A554" s="15">
        <f t="shared" si="240"/>
        <v>13481353.003768777</v>
      </c>
      <c r="B554" s="20">
        <v>43248</v>
      </c>
    </row>
    <row r="555" spans="1:2" x14ac:dyDescent="0.25">
      <c r="A555" s="15">
        <f t="shared" si="240"/>
        <v>13482294.460930753</v>
      </c>
      <c r="B555" s="20">
        <v>43249</v>
      </c>
    </row>
    <row r="556" spans="1:2" x14ac:dyDescent="0.25">
      <c r="A556" s="15">
        <f t="shared" si="240"/>
        <v>13483236.050356805</v>
      </c>
      <c r="B556" s="20">
        <v>43250</v>
      </c>
    </row>
    <row r="557" spans="1:2" x14ac:dyDescent="0.25">
      <c r="A557" s="15">
        <f t="shared" si="240"/>
        <v>13484177.772074975</v>
      </c>
      <c r="B557" s="20">
        <v>43251</v>
      </c>
    </row>
    <row r="558" spans="1:2" x14ac:dyDescent="0.25">
      <c r="A558" s="15">
        <f t="shared" si="240"/>
        <v>12028459.484519526</v>
      </c>
      <c r="B558" s="20">
        <v>43252</v>
      </c>
    </row>
    <row r="559" spans="1:2" x14ac:dyDescent="0.25">
      <c r="A559" s="15">
        <f t="shared" si="240"/>
        <v>8671530.0091265347</v>
      </c>
      <c r="B559" s="20">
        <v>43253</v>
      </c>
    </row>
    <row r="560" spans="1:2" x14ac:dyDescent="0.25">
      <c r="A560" s="15">
        <f t="shared" si="240"/>
        <v>8672135.7588833552</v>
      </c>
      <c r="B560" s="20">
        <v>43254</v>
      </c>
    </row>
    <row r="561" spans="1:2" x14ac:dyDescent="0.25">
      <c r="A561" s="15">
        <f t="shared" si="240"/>
        <v>8672741.5937384646</v>
      </c>
      <c r="B561" s="20">
        <v>43255</v>
      </c>
    </row>
    <row r="562" spans="1:2" x14ac:dyDescent="0.25">
      <c r="A562" s="15">
        <f t="shared" si="240"/>
        <v>7230938.8549070833</v>
      </c>
      <c r="B562" s="20">
        <v>43256</v>
      </c>
    </row>
    <row r="563" spans="1:2" x14ac:dyDescent="0.25">
      <c r="A563" s="15">
        <f t="shared" si="240"/>
        <v>4363801.1466506831</v>
      </c>
      <c r="B563" s="20">
        <v>43257</v>
      </c>
    </row>
    <row r="564" spans="1:2" x14ac:dyDescent="0.25">
      <c r="A564" s="15">
        <f t="shared" si="240"/>
        <v>4364123.2333809221</v>
      </c>
      <c r="B564" s="20">
        <v>43258</v>
      </c>
    </row>
    <row r="565" spans="1:2" x14ac:dyDescent="0.25">
      <c r="A565" s="15">
        <f t="shared" si="240"/>
        <v>4364445.3677784326</v>
      </c>
      <c r="B565" s="20">
        <v>43259</v>
      </c>
    </row>
    <row r="566" spans="1:2" x14ac:dyDescent="0.25">
      <c r="A566" s="15">
        <f t="shared" si="240"/>
        <v>3387709.3742746068</v>
      </c>
      <c r="B566" s="20">
        <v>43260</v>
      </c>
    </row>
    <row r="567" spans="1:2" x14ac:dyDescent="0.25">
      <c r="A567" s="15">
        <f t="shared" si="240"/>
        <v>3387965.2624753593</v>
      </c>
      <c r="B567" s="20">
        <v>43261</v>
      </c>
    </row>
    <row r="568" spans="1:2" x14ac:dyDescent="0.25">
      <c r="A568" s="15">
        <f t="shared" si="240"/>
        <v>3388221.1893655132</v>
      </c>
      <c r="B568" s="20">
        <v>43262</v>
      </c>
    </row>
    <row r="569" spans="1:2" x14ac:dyDescent="0.25">
      <c r="A569" s="15">
        <f t="shared" si="240"/>
        <v>2642241.6924488121</v>
      </c>
      <c r="B569" s="20">
        <v>43263</v>
      </c>
    </row>
    <row r="570" spans="1:2" x14ac:dyDescent="0.25">
      <c r="A570" s="15">
        <f t="shared" si="240"/>
        <v>2642444.2643118999</v>
      </c>
      <c r="B570" s="20">
        <v>43264</v>
      </c>
    </row>
    <row r="571" spans="1:2" x14ac:dyDescent="0.25">
      <c r="A571" s="15">
        <f t="shared" si="240"/>
        <v>0</v>
      </c>
      <c r="B571" s="20">
        <v>43265</v>
      </c>
    </row>
    <row r="572" spans="1:2" x14ac:dyDescent="0.25">
      <c r="A572" s="15">
        <f t="shared" si="240"/>
        <v>0</v>
      </c>
      <c r="B572" s="20">
        <v>43266</v>
      </c>
    </row>
    <row r="573" spans="1:2" x14ac:dyDescent="0.25">
      <c r="A573" s="15">
        <f t="shared" si="240"/>
        <v>0</v>
      </c>
      <c r="B573" s="20">
        <v>43267</v>
      </c>
    </row>
    <row r="574" spans="1:2" x14ac:dyDescent="0.25">
      <c r="A574" s="15">
        <f t="shared" si="240"/>
        <v>0</v>
      </c>
      <c r="B574" s="20">
        <v>43268</v>
      </c>
    </row>
    <row r="575" spans="1:2" x14ac:dyDescent="0.25">
      <c r="A575" s="15">
        <f t="shared" si="240"/>
        <v>0</v>
      </c>
      <c r="B575" s="20">
        <v>43269</v>
      </c>
    </row>
    <row r="576" spans="1:2" x14ac:dyDescent="0.25">
      <c r="A576" s="15">
        <f t="shared" si="240"/>
        <v>0</v>
      </c>
      <c r="B576" s="20">
        <v>43270</v>
      </c>
    </row>
    <row r="577" spans="1:2" x14ac:dyDescent="0.25">
      <c r="A577" s="15">
        <f t="shared" si="240"/>
        <v>0</v>
      </c>
      <c r="B577" s="20">
        <v>43271</v>
      </c>
    </row>
    <row r="578" spans="1:2" x14ac:dyDescent="0.25">
      <c r="A578" s="15">
        <f t="shared" si="240"/>
        <v>0</v>
      </c>
      <c r="B578" s="20">
        <v>43272</v>
      </c>
    </row>
    <row r="579" spans="1:2" x14ac:dyDescent="0.25">
      <c r="A579" s="15">
        <f t="shared" si="240"/>
        <v>0</v>
      </c>
      <c r="B579" s="20">
        <v>43273</v>
      </c>
    </row>
    <row r="580" spans="1:2" x14ac:dyDescent="0.25">
      <c r="A580" s="15">
        <f t="shared" si="240"/>
        <v>0</v>
      </c>
      <c r="B580" s="20">
        <v>43274</v>
      </c>
    </row>
    <row r="581" spans="1:2" x14ac:dyDescent="0.25">
      <c r="A581" s="15">
        <f t="shared" si="240"/>
        <v>0</v>
      </c>
      <c r="B581" s="20">
        <v>43275</v>
      </c>
    </row>
    <row r="582" spans="1:2" x14ac:dyDescent="0.25">
      <c r="A582" s="15">
        <f t="shared" si="240"/>
        <v>0</v>
      </c>
      <c r="B582" s="20">
        <v>43276</v>
      </c>
    </row>
    <row r="583" spans="1:2" x14ac:dyDescent="0.25">
      <c r="A583" s="15">
        <f t="shared" si="240"/>
        <v>0</v>
      </c>
      <c r="B583" s="20">
        <v>43277</v>
      </c>
    </row>
    <row r="584" spans="1:2" x14ac:dyDescent="0.25">
      <c r="A584" s="15">
        <f t="shared" si="240"/>
        <v>0</v>
      </c>
      <c r="B584" s="20">
        <v>43278</v>
      </c>
    </row>
    <row r="585" spans="1:2" x14ac:dyDescent="0.25">
      <c r="A585" s="15">
        <f t="shared" si="240"/>
        <v>0</v>
      </c>
      <c r="B585" s="20">
        <v>43279</v>
      </c>
    </row>
    <row r="586" spans="1:2" x14ac:dyDescent="0.25">
      <c r="A586" s="15">
        <f t="shared" si="240"/>
        <v>0</v>
      </c>
      <c r="B586" s="20">
        <v>43280</v>
      </c>
    </row>
    <row r="587" spans="1:2" x14ac:dyDescent="0.25">
      <c r="A587" s="15">
        <f t="shared" si="240"/>
        <v>0</v>
      </c>
      <c r="B587" s="20">
        <v>43281</v>
      </c>
    </row>
    <row r="588" spans="1:2" x14ac:dyDescent="0.25">
      <c r="A588" s="15">
        <f t="shared" si="240"/>
        <v>0</v>
      </c>
      <c r="B588" s="20">
        <v>43282</v>
      </c>
    </row>
    <row r="589" spans="1:2" x14ac:dyDescent="0.25">
      <c r="A589" s="15">
        <f t="shared" si="240"/>
        <v>0</v>
      </c>
      <c r="B589" s="20">
        <v>43283</v>
      </c>
    </row>
    <row r="590" spans="1:2" x14ac:dyDescent="0.25">
      <c r="A590" s="15">
        <f t="shared" si="240"/>
        <v>0</v>
      </c>
      <c r="B590" s="20">
        <v>43284</v>
      </c>
    </row>
    <row r="591" spans="1:2" x14ac:dyDescent="0.25">
      <c r="A591" s="15">
        <f t="shared" si="240"/>
        <v>0</v>
      </c>
      <c r="B591" s="20">
        <v>43285</v>
      </c>
    </row>
    <row r="592" spans="1:2" x14ac:dyDescent="0.25">
      <c r="A592" s="15"/>
      <c r="B592" s="20"/>
    </row>
    <row r="593" spans="1:2" x14ac:dyDescent="0.25">
      <c r="A593" s="15"/>
      <c r="B593" s="20"/>
    </row>
    <row r="594" spans="1:2" x14ac:dyDescent="0.25">
      <c r="A594" s="15"/>
      <c r="B594" s="20"/>
    </row>
    <row r="595" spans="1:2" x14ac:dyDescent="0.25">
      <c r="A595" s="15"/>
      <c r="B595" s="20"/>
    </row>
    <row r="596" spans="1:2" x14ac:dyDescent="0.25">
      <c r="A596" s="15"/>
      <c r="B596" s="20"/>
    </row>
    <row r="597" spans="1:2" x14ac:dyDescent="0.25">
      <c r="A597" s="15"/>
      <c r="B597" s="20"/>
    </row>
    <row r="598" spans="1:2" x14ac:dyDescent="0.25">
      <c r="A598" s="15"/>
      <c r="B598" s="20"/>
    </row>
    <row r="599" spans="1:2" x14ac:dyDescent="0.25">
      <c r="A599" s="15"/>
      <c r="B599" s="20"/>
    </row>
    <row r="600" spans="1:2" x14ac:dyDescent="0.25">
      <c r="A600" s="15"/>
      <c r="B600" s="20"/>
    </row>
    <row r="601" spans="1:2" x14ac:dyDescent="0.25">
      <c r="A601" s="15"/>
      <c r="B601" s="20"/>
    </row>
    <row r="602" spans="1:2" x14ac:dyDescent="0.25">
      <c r="A602" s="15"/>
      <c r="B602" s="20"/>
    </row>
    <row r="603" spans="1:2" x14ac:dyDescent="0.25">
      <c r="A603" s="15"/>
      <c r="B603" s="20"/>
    </row>
    <row r="604" spans="1:2" x14ac:dyDescent="0.25">
      <c r="A604" s="15"/>
      <c r="B604" s="20"/>
    </row>
    <row r="605" spans="1:2" x14ac:dyDescent="0.25">
      <c r="A605" s="15"/>
      <c r="B605" s="20"/>
    </row>
    <row r="606" spans="1:2" x14ac:dyDescent="0.25">
      <c r="A606" s="15"/>
      <c r="B606" s="20"/>
    </row>
    <row r="607" spans="1:2" x14ac:dyDescent="0.25">
      <c r="A607" s="15"/>
      <c r="B607" s="20"/>
    </row>
    <row r="608" spans="1:2" x14ac:dyDescent="0.25">
      <c r="A608" s="15"/>
      <c r="B608" s="20"/>
    </row>
    <row r="609" spans="1:2" x14ac:dyDescent="0.25">
      <c r="A609" s="15"/>
      <c r="B609" s="20"/>
    </row>
    <row r="610" spans="1:2" x14ac:dyDescent="0.25">
      <c r="A610" s="15"/>
      <c r="B610" s="20"/>
    </row>
    <row r="611" spans="1:2" x14ac:dyDescent="0.25">
      <c r="A611" s="15"/>
      <c r="B611" s="20"/>
    </row>
    <row r="612" spans="1:2" x14ac:dyDescent="0.25">
      <c r="A612" s="15"/>
      <c r="B612" s="20"/>
    </row>
    <row r="613" spans="1:2" x14ac:dyDescent="0.25">
      <c r="A613" s="15"/>
      <c r="B613" s="20"/>
    </row>
    <row r="614" spans="1:2" x14ac:dyDescent="0.25">
      <c r="A614" s="15"/>
      <c r="B614" s="20"/>
    </row>
    <row r="615" spans="1:2" x14ac:dyDescent="0.25">
      <c r="A615" s="15"/>
      <c r="B615" s="20"/>
    </row>
    <row r="616" spans="1:2" x14ac:dyDescent="0.25">
      <c r="A616" s="15"/>
      <c r="B616" s="20"/>
    </row>
    <row r="617" spans="1:2" x14ac:dyDescent="0.25">
      <c r="A617" s="15"/>
      <c r="B617" s="20"/>
    </row>
    <row r="618" spans="1:2" x14ac:dyDescent="0.25">
      <c r="A618" s="15"/>
      <c r="B618" s="20"/>
    </row>
    <row r="619" spans="1:2" x14ac:dyDescent="0.25">
      <c r="A619" s="15"/>
      <c r="B619" s="20"/>
    </row>
    <row r="620" spans="1:2" x14ac:dyDescent="0.25">
      <c r="A620" s="15"/>
      <c r="B620" s="20"/>
    </row>
    <row r="621" spans="1:2" x14ac:dyDescent="0.25">
      <c r="A621" s="15"/>
      <c r="B621" s="20"/>
    </row>
    <row r="622" spans="1:2" x14ac:dyDescent="0.25">
      <c r="A622" s="15"/>
      <c r="B622" s="20"/>
    </row>
    <row r="623" spans="1:2" x14ac:dyDescent="0.25">
      <c r="A623" s="15"/>
      <c r="B623" s="20"/>
    </row>
    <row r="624" spans="1:2" x14ac:dyDescent="0.25">
      <c r="A624" s="15"/>
      <c r="B624" s="20"/>
    </row>
    <row r="625" spans="1:2" x14ac:dyDescent="0.25">
      <c r="A625" s="15"/>
      <c r="B625" s="20"/>
    </row>
    <row r="626" spans="1:2" x14ac:dyDescent="0.25">
      <c r="A626" s="15"/>
      <c r="B626" s="20"/>
    </row>
    <row r="627" spans="1:2" x14ac:dyDescent="0.25">
      <c r="A627" s="15"/>
      <c r="B627" s="20"/>
    </row>
  </sheetData>
  <mergeCells count="2">
    <mergeCell ref="A7:B7"/>
    <mergeCell ref="T7:U7"/>
  </mergeCells>
  <conditionalFormatting sqref="B1:B1048576">
    <cfRule type="cellIs" dxfId="26" priority="27" operator="equal">
      <formula>TODAY()</formula>
    </cfRule>
  </conditionalFormatting>
  <conditionalFormatting sqref="U1:U1048576">
    <cfRule type="cellIs" dxfId="25" priority="26" operator="equal">
      <formula>TODAY()</formula>
    </cfRule>
  </conditionalFormatting>
  <conditionalFormatting sqref="JC8:JC66">
    <cfRule type="timePeriod" dxfId="24" priority="25" timePeriod="lastMonth">
      <formula>AND(MONTH(JC8)=MONTH(EDATE(TODAY(),0-1)),YEAR(JC8)=YEAR(EDATE(TODAY(),0-1)))</formula>
    </cfRule>
  </conditionalFormatting>
  <conditionalFormatting sqref="JG8:JG66">
    <cfRule type="timePeriod" dxfId="23" priority="24" timePeriod="lastMonth">
      <formula>AND(MONTH(JG8)=MONTH(EDATE(TODAY(),0-1)),YEAR(JG8)=YEAR(EDATE(TODAY(),0-1)))</formula>
    </cfRule>
  </conditionalFormatting>
  <conditionalFormatting sqref="JK8:JK66">
    <cfRule type="timePeriod" dxfId="22" priority="23" timePeriod="lastMonth">
      <formula>AND(MONTH(JK8)=MONTH(EDATE(TODAY(),0-1)),YEAR(JK8)=YEAR(EDATE(TODAY(),0-1)))</formula>
    </cfRule>
  </conditionalFormatting>
  <conditionalFormatting sqref="JO8:JO66">
    <cfRule type="timePeriod" dxfId="21" priority="22" timePeriod="lastMonth">
      <formula>AND(MONTH(JO8)=MONTH(EDATE(TODAY(),0-1)),YEAR(JO8)=YEAR(EDATE(TODAY(),0-1)))</formula>
    </cfRule>
  </conditionalFormatting>
  <conditionalFormatting sqref="JS8:JS66">
    <cfRule type="timePeriod" dxfId="20" priority="21" timePeriod="lastMonth">
      <formula>AND(MONTH(JS8)=MONTH(EDATE(TODAY(),0-1)),YEAR(JS8)=YEAR(EDATE(TODAY(),0-1)))</formula>
    </cfRule>
  </conditionalFormatting>
  <conditionalFormatting sqref="JW8:JW72">
    <cfRule type="timePeriod" dxfId="19" priority="20" timePeriod="lastMonth">
      <formula>AND(MONTH(JW8)=MONTH(EDATE(TODAY(),0-1)),YEAR(JW8)=YEAR(EDATE(TODAY(),0-1)))</formula>
    </cfRule>
  </conditionalFormatting>
  <conditionalFormatting sqref="KA8:KA66">
    <cfRule type="timePeriod" dxfId="18" priority="19" timePeriod="lastMonth">
      <formula>AND(MONTH(KA8)=MONTH(EDATE(TODAY(),0-1)),YEAR(KA8)=YEAR(EDATE(TODAY(),0-1)))</formula>
    </cfRule>
  </conditionalFormatting>
  <conditionalFormatting sqref="KE8:KE66">
    <cfRule type="timePeriod" dxfId="17" priority="18" timePeriod="lastMonth">
      <formula>AND(MONTH(KE8)=MONTH(EDATE(TODAY(),0-1)),YEAR(KE8)=YEAR(EDATE(TODAY(),0-1)))</formula>
    </cfRule>
  </conditionalFormatting>
  <conditionalFormatting sqref="KI8:KI66">
    <cfRule type="timePeriod" dxfId="16" priority="17" timePeriod="lastMonth">
      <formula>AND(MONTH(KI8)=MONTH(EDATE(TODAY(),0-1)),YEAR(KI8)=YEAR(EDATE(TODAY(),0-1)))</formula>
    </cfRule>
  </conditionalFormatting>
  <conditionalFormatting sqref="KM8:KM66">
    <cfRule type="timePeriod" dxfId="15" priority="16" timePeriod="lastMonth">
      <formula>AND(MONTH(KM8)=MONTH(EDATE(TODAY(),0-1)),YEAR(KM8)=YEAR(EDATE(TODAY(),0-1)))</formula>
    </cfRule>
  </conditionalFormatting>
  <conditionalFormatting sqref="KQ8:KQ72">
    <cfRule type="timePeriod" dxfId="14" priority="15" timePeriod="lastMonth">
      <formula>AND(MONTH(KQ8)=MONTH(EDATE(TODAY(),0-1)),YEAR(KQ8)=YEAR(EDATE(TODAY(),0-1)))</formula>
    </cfRule>
  </conditionalFormatting>
  <conditionalFormatting sqref="KU8:KU72">
    <cfRule type="timePeriod" dxfId="13" priority="14" timePeriod="lastMonth">
      <formula>AND(MONTH(KU8)=MONTH(EDATE(TODAY(),0-1)),YEAR(KU8)=YEAR(EDATE(TODAY(),0-1)))</formula>
    </cfRule>
  </conditionalFormatting>
  <conditionalFormatting sqref="KY8:KY72">
    <cfRule type="timePeriod" dxfId="12" priority="13" timePeriod="lastMonth">
      <formula>AND(MONTH(KY8)=MONTH(EDATE(TODAY(),0-1)),YEAR(KY8)=YEAR(EDATE(TODAY(),0-1)))</formula>
    </cfRule>
  </conditionalFormatting>
  <conditionalFormatting sqref="LC8:LC87">
    <cfRule type="timePeriod" dxfId="11" priority="12" timePeriod="lastMonth">
      <formula>AND(MONTH(LC8)=MONTH(EDATE(TODAY(),0-1)),YEAR(LC8)=YEAR(EDATE(TODAY(),0-1)))</formula>
    </cfRule>
  </conditionalFormatting>
  <conditionalFormatting sqref="LG8:LG87">
    <cfRule type="timePeriod" dxfId="10" priority="11" timePeriod="lastMonth">
      <formula>AND(MONTH(LG8)=MONTH(EDATE(TODAY(),0-1)),YEAR(LG8)=YEAR(EDATE(TODAY(),0-1)))</formula>
    </cfRule>
  </conditionalFormatting>
  <conditionalFormatting sqref="LK8:LK87">
    <cfRule type="timePeriod" dxfId="9" priority="10" timePeriod="lastMonth">
      <formula>AND(MONTH(LK8)=MONTH(EDATE(TODAY(),0-1)),YEAR(LK8)=YEAR(EDATE(TODAY(),0-1)))</formula>
    </cfRule>
  </conditionalFormatting>
  <conditionalFormatting sqref="LO8:LO87">
    <cfRule type="timePeriod" dxfId="8" priority="9" timePeriod="lastMonth">
      <formula>AND(MONTH(LO8)=MONTH(EDATE(TODAY(),0-1)),YEAR(LO8)=YEAR(EDATE(TODAY(),0-1)))</formula>
    </cfRule>
  </conditionalFormatting>
  <conditionalFormatting sqref="LS8:LS87">
    <cfRule type="timePeriod" dxfId="7" priority="8" timePeriod="lastMonth">
      <formula>AND(MONTH(LS8)=MONTH(EDATE(TODAY(),0-1)),YEAR(LS8)=YEAR(EDATE(TODAY(),0-1)))</formula>
    </cfRule>
  </conditionalFormatting>
  <conditionalFormatting sqref="LW8:LW87">
    <cfRule type="timePeriod" dxfId="6" priority="7" timePeriod="lastMonth">
      <formula>AND(MONTH(LW8)=MONTH(EDATE(TODAY(),0-1)),YEAR(LW8)=YEAR(EDATE(TODAY(),0-1)))</formula>
    </cfRule>
  </conditionalFormatting>
  <conditionalFormatting sqref="MA8:MA87">
    <cfRule type="timePeriod" dxfId="5" priority="6" timePeriod="lastMonth">
      <formula>AND(MONTH(MA8)=MONTH(EDATE(TODAY(),0-1)),YEAR(MA8)=YEAR(EDATE(TODAY(),0-1)))</formula>
    </cfRule>
  </conditionalFormatting>
  <conditionalFormatting sqref="ME8:ME87">
    <cfRule type="timePeriod" dxfId="4" priority="5" timePeriod="lastMonth">
      <formula>AND(MONTH(ME8)=MONTH(EDATE(TODAY(),0-1)),YEAR(ME8)=YEAR(EDATE(TODAY(),0-1)))</formula>
    </cfRule>
  </conditionalFormatting>
  <conditionalFormatting sqref="MI8:MI87">
    <cfRule type="timePeriod" dxfId="3" priority="4" timePeriod="lastMonth">
      <formula>AND(MONTH(MI8)=MONTH(EDATE(TODAY(),0-1)),YEAR(MI8)=YEAR(EDATE(TODAY(),0-1)))</formula>
    </cfRule>
  </conditionalFormatting>
  <conditionalFormatting sqref="MM8:MM87">
    <cfRule type="timePeriod" dxfId="2" priority="3" timePeriod="lastMonth">
      <formula>AND(MONTH(MM8)=MONTH(EDATE(TODAY(),0-1)),YEAR(MM8)=YEAR(EDATE(TODAY(),0-1)))</formula>
    </cfRule>
  </conditionalFormatting>
  <conditionalFormatting sqref="MQ8:MQ87">
    <cfRule type="timePeriod" dxfId="1" priority="2" timePeriod="lastMonth">
      <formula>AND(MONTH(MQ8)=MONTH(EDATE(TODAY(),0-1)),YEAR(MQ8)=YEAR(EDATE(TODAY(),0-1)))</formula>
    </cfRule>
  </conditionalFormatting>
  <conditionalFormatting sqref="MU8:MU87">
    <cfRule type="timePeriod" dxfId="0" priority="1" timePeriod="lastMonth">
      <formula>AND(MONTH(MU8)=MONTH(EDATE(TODAY(),0-1)),YEAR(MU8)=YEAR(EDATE(TODAY(),0-1)))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FWD Deuda 360</vt:lpstr>
      <vt:lpstr>FWD Renta</vt:lpstr>
      <vt:lpstr>FWD Macro 1.5</vt:lpstr>
      <vt:lpstr>FWD LIquidez</vt:lpstr>
      <vt:lpstr>R° Sintetico Liquidez</vt:lpstr>
      <vt:lpstr>Sintetico Liquidez</vt:lpstr>
      <vt:lpstr>FWD MoneyMarket</vt:lpstr>
      <vt:lpstr>R° Sintetico MM</vt:lpstr>
      <vt:lpstr>Sintetico MoneyMarket</vt:lpstr>
      <vt:lpstr>INf. RA USD</vt:lpstr>
      <vt:lpstr>Inf. RA_$$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Cardenas Figueroa</dc:creator>
  <cp:lastModifiedBy>Diego Posch Ponce</cp:lastModifiedBy>
  <cp:lastPrinted>2018-05-09T19:59:42Z</cp:lastPrinted>
  <dcterms:created xsi:type="dcterms:W3CDTF">2016-04-29T14:31:27Z</dcterms:created>
  <dcterms:modified xsi:type="dcterms:W3CDTF">2018-05-18T15:19:14Z</dcterms:modified>
</cp:coreProperties>
</file>