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bookViews>
    <workbookView xWindow="0" yWindow="0" windowWidth="21600" windowHeight="9510" activeTab="1" xr2:uid="{A5D502C6-0CEF-4967-BC60-BB6954387E44}"/>
  </bookViews>
  <sheets>
    <sheet name="FM" sheetId="1" r:id="rId1"/>
    <sheet name="FI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31" i="2" s="1"/>
  <c r="C50" i="2"/>
  <c r="C49" i="2"/>
  <c r="B49" i="2"/>
  <c r="H45" i="2"/>
  <c r="C45" i="2"/>
  <c r="D45" i="2" s="1"/>
  <c r="H44" i="2"/>
  <c r="D44" i="2"/>
  <c r="H43" i="2"/>
  <c r="D43" i="2"/>
  <c r="H42" i="2"/>
  <c r="D42" i="2"/>
  <c r="H41" i="2"/>
  <c r="D41" i="2"/>
  <c r="C41" i="2"/>
  <c r="H40" i="2"/>
  <c r="D40" i="2"/>
  <c r="H39" i="2"/>
  <c r="C39" i="2"/>
  <c r="D39" i="2" s="1"/>
  <c r="H38" i="2"/>
  <c r="D38" i="2"/>
  <c r="C38" i="2"/>
  <c r="H37" i="2"/>
  <c r="D37" i="2"/>
  <c r="H36" i="2"/>
  <c r="H46" i="2" s="1"/>
  <c r="D36" i="2"/>
  <c r="H35" i="2"/>
  <c r="D35" i="2"/>
  <c r="L31" i="2"/>
  <c r="H31" i="2"/>
  <c r="L30" i="2"/>
  <c r="H30" i="2"/>
  <c r="D30" i="2"/>
  <c r="L29" i="2"/>
  <c r="H29" i="2"/>
  <c r="L28" i="2"/>
  <c r="H28" i="2"/>
  <c r="D28" i="2"/>
  <c r="L27" i="2"/>
  <c r="H27" i="2"/>
  <c r="G27" i="2"/>
  <c r="D27" i="2"/>
  <c r="L26" i="2"/>
  <c r="H26" i="2"/>
  <c r="L25" i="2"/>
  <c r="G25" i="2"/>
  <c r="H25" i="2" s="1"/>
  <c r="L24" i="2"/>
  <c r="H24" i="2"/>
  <c r="D24" i="2"/>
  <c r="L23" i="2"/>
  <c r="H23" i="2"/>
  <c r="L22" i="2"/>
  <c r="L32" i="2" s="1"/>
  <c r="H22" i="2"/>
  <c r="D22" i="2"/>
  <c r="L21" i="2"/>
  <c r="H21" i="2"/>
  <c r="L17" i="2"/>
  <c r="H17" i="2"/>
  <c r="D17" i="2"/>
  <c r="L16" i="2"/>
  <c r="H16" i="2"/>
  <c r="D16" i="2"/>
  <c r="L15" i="2"/>
  <c r="H15" i="2"/>
  <c r="D15" i="2"/>
  <c r="L14" i="2"/>
  <c r="K14" i="2"/>
  <c r="H14" i="2"/>
  <c r="D14" i="2"/>
  <c r="L13" i="2"/>
  <c r="G13" i="2"/>
  <c r="H13" i="2" s="1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L7" i="2"/>
  <c r="L18" i="2" s="1"/>
  <c r="H7" i="2"/>
  <c r="D7" i="2"/>
  <c r="D18" i="2" s="1"/>
  <c r="H18" i="2" l="1"/>
  <c r="H32" i="2"/>
  <c r="D46" i="2"/>
  <c r="D23" i="2"/>
  <c r="D29" i="2"/>
  <c r="D21" i="2"/>
  <c r="D32" i="2" s="1"/>
  <c r="D25" i="2"/>
  <c r="D26" i="2"/>
  <c r="F121" i="1" l="1"/>
  <c r="F120" i="1"/>
  <c r="D105" i="1"/>
  <c r="D104" i="1"/>
  <c r="D103" i="1"/>
  <c r="D102" i="1"/>
  <c r="D101" i="1"/>
  <c r="D106" i="1" s="1"/>
  <c r="D100" i="1"/>
  <c r="D99" i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H80" i="1" s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H65" i="1" s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H49" i="1" s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H34" i="1" s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<sst xmlns="http://schemas.openxmlformats.org/spreadsheetml/2006/main" count="333" uniqueCount="62">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</sst>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21E914A0-920B-4FDE-8D8B-6FB1E2C0FFE1}"/>
    <cellStyle name="Millares 6" xfId="5" xr:uid="{2C81CCAF-8A47-410F-A073-0D49C44BC5D8}"/>
    <cellStyle name="Normal" xfId="0" builtinId="0"/>
    <cellStyle name="Normal 5" xfId="4" xr:uid="{6ADA0EBB-1955-4006-A0FB-5AF4F7A6F25F}"/>
    <cellStyle name="Normal 5 2" xfId="6" xr:uid="{007090F0-D52E-41DB-B60A-C274C66807B6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D380DBB-378E-4339-A402-A6CBFC1DE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884C-17C7-4BFC-830C-158581BBAD5C}">
  <dimension ref="A2:M130"/>
  <sheetViews>
    <sheetView topLeftCell="A49" zoomScale="90" zoomScaleNormal="90" workbookViewId="0">
      <selection activeCell="F70" sqref="F70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43159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6384349</v>
      </c>
      <c r="D7" s="12">
        <f>+IF(C7/$F$120=0,"",C7/$F$120)</f>
        <v>7.4132585531311806E-5</v>
      </c>
      <c r="E7" s="13"/>
      <c r="F7" s="10" t="s">
        <v>5</v>
      </c>
      <c r="G7" s="11">
        <v>474914</v>
      </c>
      <c r="H7" s="14">
        <f>+IF(G7/$C$122=0,"",G7/$C$122)</f>
        <v>6.8883059755931348E-5</v>
      </c>
    </row>
    <row r="8" spans="1:10" ht="12.75" x14ac:dyDescent="0.2">
      <c r="B8" s="10" t="s">
        <v>6</v>
      </c>
      <c r="C8" s="11">
        <v>549980</v>
      </c>
      <c r="D8" s="12">
        <f>+IF(C8/$F$120=0,"",C8/$F$120)</f>
        <v>6.3861545461425853E-6</v>
      </c>
      <c r="E8" s="13"/>
      <c r="F8" s="10" t="s">
        <v>6</v>
      </c>
      <c r="G8" s="11">
        <v>370158</v>
      </c>
      <c r="H8" s="14">
        <f t="shared" ref="H8:H18" si="0">+IF(G8/$C$122=0,"",G8/$C$122)</f>
        <v>5.368891132528423E-5</v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10211</v>
      </c>
      <c r="H11" s="14">
        <f t="shared" si="0"/>
        <v>1.4810364048392233E-6</v>
      </c>
    </row>
    <row r="12" spans="1:10" ht="12.75" x14ac:dyDescent="0.2">
      <c r="B12" s="10" t="s">
        <v>10</v>
      </c>
      <c r="C12" s="11">
        <v>-237848.29023561068</v>
      </c>
      <c r="D12" s="12">
        <f t="shared" si="1"/>
        <v>-2.7618021382239101E-6</v>
      </c>
      <c r="E12" s="13"/>
      <c r="F12" s="10" t="s">
        <v>10</v>
      </c>
      <c r="G12" s="11">
        <v>-453400</v>
      </c>
      <c r="H12" s="14">
        <f t="shared" si="0"/>
        <v>-6.5762599740877862E-5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-955037</v>
      </c>
      <c r="H14" s="14">
        <f t="shared" si="0"/>
        <v>-1.3852164968841812E-4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/>
      <c r="H15" s="14" t="str">
        <f t="shared" si="0"/>
        <v/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>
        <v>444624</v>
      </c>
      <c r="H16" s="14">
        <f t="shared" si="0"/>
        <v>6.4489700368743007E-5</v>
      </c>
    </row>
    <row r="17" spans="2:9" ht="12.75" x14ac:dyDescent="0.2">
      <c r="B17" s="10" t="s">
        <v>15</v>
      </c>
      <c r="C17" s="11"/>
      <c r="D17" s="12" t="str">
        <f>+IF(C17/$F$120=0,"",C17/$F$120)</f>
        <v/>
      </c>
      <c r="E17" s="13"/>
      <c r="F17" s="10" t="s">
        <v>15</v>
      </c>
      <c r="G17" s="11"/>
      <c r="H17" s="14" t="str">
        <f t="shared" si="0"/>
        <v/>
      </c>
    </row>
    <row r="18" spans="2:9" ht="12.75" x14ac:dyDescent="0.2">
      <c r="B18" s="10" t="s">
        <v>16</v>
      </c>
      <c r="C18" s="11">
        <v>-100761</v>
      </c>
      <c r="D18" s="12">
        <f>+IF(C18/$F$120=0,"",C18/$F$120)</f>
        <v>-1.1699976694132023E-6</v>
      </c>
      <c r="E18" s="17"/>
      <c r="F18" s="10" t="s">
        <v>16</v>
      </c>
      <c r="G18" s="11">
        <v>-22863</v>
      </c>
      <c r="H18" s="14">
        <f t="shared" si="0"/>
        <v>-3.3161233301184178E-6</v>
      </c>
    </row>
    <row r="19" spans="2:9" s="22" customFormat="1" x14ac:dyDescent="0.2">
      <c r="B19" s="18" t="s">
        <v>17</v>
      </c>
      <c r="C19" s="19">
        <f>SUM(C7:C18)</f>
        <v>6595719.7097643893</v>
      </c>
      <c r="D19" s="20">
        <f>SUM(D7:D18)</f>
        <v>7.6586940269817276E-5</v>
      </c>
      <c r="E19" s="21"/>
      <c r="F19" s="18" t="s">
        <v>17</v>
      </c>
      <c r="G19" s="19">
        <f>SUM(G7:G18)</f>
        <v>-131393</v>
      </c>
      <c r="H19" s="20">
        <f>SUM(H7:H18)</f>
        <v>-1.9057664904616592E-5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1798.2447999999999</v>
      </c>
      <c r="D22" s="14">
        <f>+IF(C22/$F$121=0,"",C22/$F$121)</f>
        <v>4.9195246873774935E-5</v>
      </c>
      <c r="E22" s="17"/>
      <c r="F22" s="10" t="s">
        <v>5</v>
      </c>
      <c r="G22" s="11">
        <v>2791198</v>
      </c>
      <c r="H22" s="14">
        <f>+IF(G22/$C$115=0,"",G22/$C$115)</f>
        <v>7.0025750836780413E-5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>
        <v>1897295</v>
      </c>
      <c r="H23" s="14">
        <f t="shared" ref="H23:H33" si="2">+IF(G23/$C$115=0,"",G23/$C$115)</f>
        <v>4.7599456195464918E-5</v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-70.465386870149814</v>
      </c>
      <c r="D26" s="14">
        <f>+IF(C26/$F$121=0,"",C26/$F$121)</f>
        <v>-1.9277476031812127E-6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43200.557631826698</v>
      </c>
      <c r="D27" s="14">
        <f t="shared" ref="D27:D33" si="3">+IF(C27/$F$121=0,"",C27/$F$121)</f>
        <v>1.1818536040156804E-3</v>
      </c>
      <c r="E27" s="17"/>
      <c r="F27" s="10" t="s">
        <v>10</v>
      </c>
      <c r="G27" s="11">
        <v>54160</v>
      </c>
      <c r="H27" s="14">
        <f t="shared" si="2"/>
        <v>1.3587694836840765E-6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-2939611</v>
      </c>
      <c r="H29" s="14">
        <f t="shared" si="2"/>
        <v>-7.3749145507792313E-5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-43320.721299999997</v>
      </c>
      <c r="D31" s="14">
        <f t="shared" si="3"/>
        <v>-1.1851409658481984E-3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>
        <v>10.51</v>
      </c>
      <c r="D32" s="14">
        <f t="shared" si="3"/>
        <v>2.8752595010611158E-7</v>
      </c>
      <c r="E32" s="17"/>
      <c r="F32" s="10" t="s">
        <v>15</v>
      </c>
      <c r="G32" s="11"/>
      <c r="H32" s="14" t="str">
        <f t="shared" si="2"/>
        <v/>
      </c>
    </row>
    <row r="33" spans="1:13" ht="12.75" x14ac:dyDescent="0.2">
      <c r="B33" s="10" t="s">
        <v>16</v>
      </c>
      <c r="C33" s="24">
        <v>-161.59</v>
      </c>
      <c r="D33" s="14">
        <f t="shared" si="3"/>
        <v>-4.4206772861699875E-6</v>
      </c>
      <c r="E33" s="17"/>
      <c r="F33" s="10" t="s">
        <v>16</v>
      </c>
      <c r="G33" s="11">
        <v>-40063</v>
      </c>
      <c r="H33" s="14">
        <f t="shared" si="2"/>
        <v>-1.005103061758404E-6</v>
      </c>
    </row>
    <row r="34" spans="1:13" s="22" customFormat="1" x14ac:dyDescent="0.2">
      <c r="B34" s="18" t="s">
        <v>17</v>
      </c>
      <c r="C34" s="26">
        <f>SUM(C22:C33)</f>
        <v>1456.5357449565508</v>
      </c>
      <c r="D34" s="20">
        <f>SUM(D22:D33)</f>
        <v>3.9846986102011906E-5</v>
      </c>
      <c r="E34" s="21"/>
      <c r="F34" s="18" t="s">
        <v>17</v>
      </c>
      <c r="G34" s="26">
        <f>SUM(G22:G33)</f>
        <v>1762979</v>
      </c>
      <c r="H34" s="20">
        <f>SUM(H22:H33)</f>
        <v>4.4229727946378679E-5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4186914</v>
      </c>
      <c r="D37" s="14">
        <f t="shared" ref="D37:D48" si="4">+IF(C37/$C$123=0,"",C37/$C$123)</f>
        <v>4.9294552470599114E-5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>
        <v>7867261</v>
      </c>
      <c r="D38" s="14">
        <f t="shared" si="4"/>
        <v>9.2625047986272957E-5</v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/>
      <c r="H39" s="14" t="str">
        <f t="shared" si="5"/>
        <v/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800000</v>
      </c>
      <c r="D42" s="14">
        <f t="shared" si="4"/>
        <v>9.4187848082094089E-6</v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-8275906</v>
      </c>
      <c r="D44" s="14">
        <f t="shared" si="4"/>
        <v>-9.7436222133711375E-5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5039224</v>
      </c>
      <c r="D45" s="14">
        <f t="shared" si="4"/>
        <v>5.9329208070455316E-5</v>
      </c>
      <c r="E45" s="13"/>
      <c r="F45" s="10" t="s">
        <v>13</v>
      </c>
      <c r="G45" s="30">
        <v>-36910276</v>
      </c>
      <c r="H45" s="14">
        <f t="shared" si="5"/>
        <v>-7.5739559384170657E-3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/>
      <c r="D47" s="14" t="str">
        <f t="shared" si="4"/>
        <v/>
      </c>
      <c r="E47" s="13"/>
      <c r="F47" s="10" t="s">
        <v>15</v>
      </c>
      <c r="G47" s="33">
        <v>-55705</v>
      </c>
      <c r="H47" s="14">
        <f t="shared" si="5"/>
        <v>-1.1430616654005044E-5</v>
      </c>
    </row>
    <row r="48" spans="1:13" x14ac:dyDescent="0.2">
      <c r="B48" s="10" t="s">
        <v>16</v>
      </c>
      <c r="C48" s="33">
        <v>-88478</v>
      </c>
      <c r="D48" s="14">
        <f t="shared" si="4"/>
        <v>-1.0416940528259401E-6</v>
      </c>
      <c r="E48" s="13"/>
      <c r="F48" s="10" t="s">
        <v>16</v>
      </c>
      <c r="G48" s="30">
        <v>-40055</v>
      </c>
      <c r="H48" s="14">
        <f t="shared" si="5"/>
        <v>-8.2192505174790778E-6</v>
      </c>
    </row>
    <row r="49" spans="2:10" s="22" customFormat="1" x14ac:dyDescent="0.2">
      <c r="B49" s="18" t="s">
        <v>17</v>
      </c>
      <c r="C49" s="19">
        <f>SUM(C37:C48)</f>
        <v>9529015</v>
      </c>
      <c r="D49" s="20">
        <f>SUM(D37:D48)</f>
        <v>1.1218967714899946E-4</v>
      </c>
      <c r="E49" s="21"/>
      <c r="F49" s="18" t="s">
        <v>17</v>
      </c>
      <c r="G49" s="19">
        <f>SUM(G37:G48)</f>
        <v>-37006036</v>
      </c>
      <c r="H49" s="20">
        <f>SUM(H37:H48)</f>
        <v>-7.5936058055885505E-3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13215.0821</v>
      </c>
      <c r="H53" s="14">
        <f t="shared" ref="H53:H64" si="7">+IF(G53/$C$124=0,"",G53/$C$124)</f>
        <v>1.3264821655418221E-4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/>
      <c r="D56" s="14" t="str">
        <f t="shared" si="6"/>
        <v/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60434.462</v>
      </c>
      <c r="H60" s="14">
        <f t="shared" si="7"/>
        <v>6.0661928106458727E-4</v>
      </c>
    </row>
    <row r="61" spans="2:10" x14ac:dyDescent="0.2">
      <c r="B61" s="10" t="s">
        <v>13</v>
      </c>
      <c r="C61" s="33">
        <v>-232690276</v>
      </c>
      <c r="D61" s="14">
        <f t="shared" si="6"/>
        <v>-7.6902128470722362E-3</v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/>
      <c r="D62" s="14" t="str">
        <f t="shared" si="6"/>
        <v/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/>
      <c r="D63" s="14" t="str">
        <f t="shared" si="6"/>
        <v/>
      </c>
      <c r="E63" s="13"/>
      <c r="F63" s="10" t="s">
        <v>15</v>
      </c>
      <c r="G63" s="37">
        <v>1615.34</v>
      </c>
      <c r="H63" s="14">
        <f t="shared" si="7"/>
        <v>1.6214198936276961E-5</v>
      </c>
    </row>
    <row r="64" spans="2:10" x14ac:dyDescent="0.2">
      <c r="B64" s="10" t="s">
        <v>16</v>
      </c>
      <c r="C64" s="33">
        <v>-248696</v>
      </c>
      <c r="D64" s="14">
        <f t="shared" si="6"/>
        <v>-8.2191882148761428E-6</v>
      </c>
      <c r="E64" s="13"/>
      <c r="F64" s="10" t="s">
        <v>16</v>
      </c>
      <c r="G64" s="37">
        <v>-123.29</v>
      </c>
      <c r="H64" s="14">
        <f t="shared" si="7"/>
        <v>-1.237540447740777E-6</v>
      </c>
    </row>
    <row r="65" spans="2:8" s="22" customFormat="1" x14ac:dyDescent="0.2">
      <c r="B65" s="18" t="s">
        <v>17</v>
      </c>
      <c r="C65" s="19">
        <f>SUM(C53:C64)</f>
        <v>-232938972</v>
      </c>
      <c r="D65" s="20">
        <f>SUM(D53:D64)</f>
        <v>-7.6984320352871125E-3</v>
      </c>
      <c r="E65" s="21"/>
      <c r="F65" s="18" t="s">
        <v>17</v>
      </c>
      <c r="G65" s="26">
        <f>SUM(G53:G64)</f>
        <v>75141.594100000002</v>
      </c>
      <c r="H65" s="20">
        <f>SUM(H53:H64)</f>
        <v>7.5424415610730563E-4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/>
      <c r="D70" s="14" t="str">
        <f t="shared" si="8"/>
        <v/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2048233</v>
      </c>
      <c r="D72" s="14">
        <f t="shared" si="8"/>
        <v>1.1676859241354197E-4</v>
      </c>
      <c r="E72" s="13"/>
      <c r="F72" s="10" t="s">
        <v>9</v>
      </c>
      <c r="G72" s="30">
        <v>225338</v>
      </c>
      <c r="H72" s="14">
        <f t="shared" si="9"/>
        <v>3.5809405959970578E-5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-171460481</v>
      </c>
      <c r="D76" s="14">
        <f t="shared" si="8"/>
        <v>-9.7748640027374122E-3</v>
      </c>
      <c r="E76" s="13"/>
      <c r="F76" s="10" t="s">
        <v>13</v>
      </c>
      <c r="G76" s="33">
        <v>-4301336</v>
      </c>
      <c r="H76" s="14">
        <f t="shared" si="9"/>
        <v>-6.8354333043799099E-4</v>
      </c>
    </row>
    <row r="77" spans="2:8" x14ac:dyDescent="0.2">
      <c r="B77" s="10" t="s">
        <v>14</v>
      </c>
      <c r="C77" s="30">
        <v>124907548</v>
      </c>
      <c r="D77" s="14">
        <f t="shared" si="8"/>
        <v>7.1209079053930532E-3</v>
      </c>
      <c r="E77" s="13"/>
      <c r="F77" s="10" t="s">
        <v>14</v>
      </c>
      <c r="G77" s="30">
        <v>46926876</v>
      </c>
      <c r="H77" s="14">
        <f t="shared" si="9"/>
        <v>7.4573465332842233E-3</v>
      </c>
    </row>
    <row r="78" spans="2:8" x14ac:dyDescent="0.2">
      <c r="B78" s="10" t="s">
        <v>15</v>
      </c>
      <c r="C78" s="33"/>
      <c r="D78" s="14" t="str">
        <f t="shared" si="8"/>
        <v/>
      </c>
      <c r="E78" s="13"/>
      <c r="F78" s="10" t="s">
        <v>15</v>
      </c>
      <c r="G78" s="33"/>
      <c r="H78" s="14" t="str">
        <f t="shared" si="9"/>
        <v/>
      </c>
    </row>
    <row r="79" spans="2:8" x14ac:dyDescent="0.2">
      <c r="B79" s="10" t="s">
        <v>16</v>
      </c>
      <c r="C79" s="33">
        <v>-21309</v>
      </c>
      <c r="D79" s="14">
        <f t="shared" si="8"/>
        <v>-1.2148139082517302E-6</v>
      </c>
      <c r="E79" s="13"/>
      <c r="F79" s="10" t="s">
        <v>16</v>
      </c>
      <c r="G79" s="33">
        <v>-16228</v>
      </c>
      <c r="H79" s="14">
        <f t="shared" si="9"/>
        <v>-2.5788594907135171E-6</v>
      </c>
    </row>
    <row r="80" spans="2:8" s="22" customFormat="1" x14ac:dyDescent="0.2">
      <c r="B80" s="18" t="s">
        <v>17</v>
      </c>
      <c r="C80" s="19">
        <f>SUM(C68:C79)</f>
        <v>-44526009</v>
      </c>
      <c r="D80" s="20">
        <f>SUM(D68:D79)</f>
        <v>-2.5384023188390692E-3</v>
      </c>
      <c r="E80" s="21"/>
      <c r="F80" s="18" t="s">
        <v>17</v>
      </c>
      <c r="G80" s="19">
        <f>SUM(G68:G79)</f>
        <v>42834650</v>
      </c>
      <c r="H80" s="20">
        <f>SUM(H68:H79)</f>
        <v>6.8070337493154895E-3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4.43</v>
      </c>
      <c r="D87" s="14">
        <f t="shared" si="10"/>
        <v>6.2533041330215157E-8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45754.737300000001</v>
      </c>
      <c r="D90" s="14">
        <f t="shared" si="10"/>
        <v>6.4586520962393607E-4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158616.30249999999</v>
      </c>
      <c r="D92" s="14">
        <f t="shared" si="10"/>
        <v>2.2389976974894828E-3</v>
      </c>
      <c r="G92" s="35"/>
    </row>
    <row r="93" spans="2:7" ht="12.75" customHeight="1" x14ac:dyDescent="0.2">
      <c r="B93" s="10" t="s">
        <v>15</v>
      </c>
      <c r="C93" s="37"/>
      <c r="D93" s="14" t="str">
        <f t="shared" si="10"/>
        <v/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204375.46979999999</v>
      </c>
      <c r="D95" s="42">
        <f>SUM(D83:D94)</f>
        <v>2.884925440154749E-3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39859594030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30257976031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17540958212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4873315385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6292704220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80674253523</v>
      </c>
      <c r="D120" s="57">
        <v>5446430846</v>
      </c>
      <c r="F120" s="57">
        <f>+C120+D120</f>
        <v>86120684369</v>
      </c>
      <c r="G120" s="61"/>
      <c r="H120" s="61"/>
      <c r="I120" s="59"/>
    </row>
    <row r="121" spans="1:13" x14ac:dyDescent="0.2">
      <c r="B121" s="54" t="s">
        <v>18</v>
      </c>
      <c r="C121" s="62">
        <v>36501561.719999999</v>
      </c>
      <c r="D121" s="63">
        <v>51660.68</v>
      </c>
      <c r="F121" s="57">
        <f>+C121+D121</f>
        <v>36553222.399999999</v>
      </c>
      <c r="G121" s="16"/>
      <c r="H121" s="58"/>
      <c r="I121" s="59"/>
    </row>
    <row r="122" spans="1:13" x14ac:dyDescent="0.2">
      <c r="B122" s="54" t="s">
        <v>4</v>
      </c>
      <c r="C122" s="55">
        <v>6894496291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84936646955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99625026.579999998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70842548.287499994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A93C-605A-46D7-BE65-C7AFF1D9F649}">
  <dimension ref="A2:L56"/>
  <sheetViews>
    <sheetView tabSelected="1" zoomScale="90" zoomScaleNormal="90" workbookViewId="0">
      <selection activeCell="C20" sqref="C20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43159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12996426</v>
      </c>
      <c r="H7" s="81">
        <f t="shared" ref="H7:H17" si="1">+IF(G7/$C$50=0,"",G7/$C$50)</f>
        <v>2.1015746739560948E-4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16171664</v>
      </c>
      <c r="D8" s="78">
        <f t="shared" si="0"/>
        <v>7.3517433819692149E-3</v>
      </c>
      <c r="E8" s="79"/>
      <c r="F8" s="83" t="s">
        <v>47</v>
      </c>
      <c r="G8" s="80">
        <v>6363961</v>
      </c>
      <c r="H8" s="81">
        <f t="shared" si="1"/>
        <v>1.0290782453302394E-4</v>
      </c>
      <c r="J8" s="83" t="s">
        <v>47</v>
      </c>
      <c r="K8" s="80">
        <v>57821336</v>
      </c>
      <c r="L8" s="81">
        <f t="shared" ref="L8:L17" si="2">+IF(K8/$C$55=0,"",K8/$C$55)</f>
        <v>7.4843373547204975E-3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77244</v>
      </c>
      <c r="D10" s="78">
        <f t="shared" si="0"/>
        <v>3.5115623586838686E-5</v>
      </c>
      <c r="E10" s="79"/>
      <c r="F10" s="83" t="s">
        <v>9</v>
      </c>
      <c r="G10" s="80">
        <v>400181</v>
      </c>
      <c r="H10" s="81">
        <f t="shared" si="1"/>
        <v>6.4710887023742061E-6</v>
      </c>
      <c r="J10" s="83" t="s">
        <v>9</v>
      </c>
      <c r="K10" s="80">
        <v>10659</v>
      </c>
      <c r="L10" s="81">
        <f t="shared" si="2"/>
        <v>1.3796905672322373E-6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-56057200+53376400</f>
        <v>-2680800</v>
      </c>
      <c r="H11" s="81">
        <f t="shared" si="1"/>
        <v>-4.3349620779909019E-5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f>-1972542-2038911+527288-963045-1487910</f>
        <v>-5935120</v>
      </c>
      <c r="H13" s="81">
        <f t="shared" si="1"/>
        <v>-9.5973292033442863E-5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-23446134</v>
      </c>
      <c r="D14" s="78">
        <f t="shared" si="0"/>
        <v>-1.0658764643345508E-2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-99471841+1976</f>
        <v>-99469865</v>
      </c>
      <c r="L14" s="81">
        <f t="shared" si="2"/>
        <v>-1.2875282340216161E-2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>
        <v>-191499</v>
      </c>
      <c r="H16" s="81">
        <f t="shared" si="1"/>
        <v>-3.0966163196552513E-6</v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-65816</v>
      </c>
      <c r="D17" s="78">
        <f t="shared" si="0"/>
        <v>-2.9920380637866693E-5</v>
      </c>
      <c r="E17" s="79"/>
      <c r="F17" s="85" t="s">
        <v>16</v>
      </c>
      <c r="G17" s="80">
        <v>-143186</v>
      </c>
      <c r="H17" s="81">
        <f t="shared" si="1"/>
        <v>-2.315375559904526E-6</v>
      </c>
      <c r="J17" s="85" t="s">
        <v>16</v>
      </c>
      <c r="K17" s="80">
        <v>-17113</v>
      </c>
      <c r="L17" s="81">
        <f t="shared" si="2"/>
        <v>-2.2150900344352452E-6</v>
      </c>
    </row>
    <row r="18" spans="1:12" ht="14.1" customHeight="1" x14ac:dyDescent="0.2">
      <c r="B18" s="86" t="s">
        <v>17</v>
      </c>
      <c r="C18" s="87"/>
      <c r="D18" s="88">
        <f>SUM(D7:D17)</f>
        <v>-3.3018260184273212E-3</v>
      </c>
      <c r="E18" s="79"/>
      <c r="F18" s="86" t="s">
        <v>17</v>
      </c>
      <c r="G18" s="89"/>
      <c r="H18" s="88">
        <f>SUM(H7:H17)</f>
        <v>1.7480147593809594E-4</v>
      </c>
      <c r="I18" s="90"/>
      <c r="J18" s="86" t="s">
        <v>17</v>
      </c>
      <c r="K18" s="89"/>
      <c r="L18" s="88">
        <f>SUM(L7:L17)</f>
        <v>-5.3917803849628668E-3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34376105</v>
      </c>
      <c r="D21" s="81">
        <f t="shared" ref="D21:D31" si="3">+IF(C21/$C$51=0,"",C21/$C$51)</f>
        <v>2.3161728958986122E-4</v>
      </c>
      <c r="E21" s="92"/>
      <c r="F21" s="76" t="s">
        <v>46</v>
      </c>
      <c r="G21" s="80">
        <v>2704723</v>
      </c>
      <c r="H21" s="81">
        <f t="shared" ref="H21:H31" si="4">+IF(G21/$C$52=0,"",G21/$C$52)</f>
        <v>1.7348434048796636E-4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29354327</v>
      </c>
      <c r="D22" s="81">
        <f t="shared" si="3"/>
        <v>1.9778185042995658E-4</v>
      </c>
      <c r="E22" s="92"/>
      <c r="F22" s="83" t="s">
        <v>47</v>
      </c>
      <c r="G22" s="93">
        <v>2355641</v>
      </c>
      <c r="H22" s="81">
        <f t="shared" si="4"/>
        <v>1.5109378125279874E-4</v>
      </c>
      <c r="J22" s="83" t="s">
        <v>47</v>
      </c>
      <c r="K22" s="80"/>
      <c r="L22" s="81" t="str">
        <f t="shared" ref="L22:L31" si="5">+IF(K22/$C$56=0,"",K22/$C$56)</f>
        <v/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4175606</v>
      </c>
      <c r="D24" s="81">
        <f t="shared" si="3"/>
        <v>2.8134151443718306E-5</v>
      </c>
      <c r="E24" s="92"/>
      <c r="F24" s="83" t="s">
        <v>9</v>
      </c>
      <c r="G24" s="80">
        <v>121536</v>
      </c>
      <c r="H24" s="81">
        <f t="shared" si="4"/>
        <v>7.795472144668967E-6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v>-32901560</v>
      </c>
      <c r="D25" s="81">
        <f t="shared" si="3"/>
        <v>-2.2168218739377816E-4</v>
      </c>
      <c r="E25" s="92"/>
      <c r="F25" s="83" t="s">
        <v>10</v>
      </c>
      <c r="G25" s="80">
        <f>-57116500+54849500</f>
        <v>-2267000</v>
      </c>
      <c r="H25" s="81">
        <f t="shared" si="4"/>
        <v>-1.4540823584752294E-4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v>5980285</v>
      </c>
      <c r="D27" s="81">
        <f t="shared" si="3"/>
        <v>4.0293611003192576E-5</v>
      </c>
      <c r="E27" s="92"/>
      <c r="F27" s="83" t="s">
        <v>12</v>
      </c>
      <c r="G27" s="80">
        <f>-27214-31601+17380-8+126-4294167</f>
        <v>-4335484</v>
      </c>
      <c r="H27" s="81">
        <f t="shared" si="4"/>
        <v>-2.7808340537501636E-4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328450</v>
      </c>
      <c r="D28" s="81">
        <f t="shared" si="3"/>
        <v>2.2130110076691328E-6</v>
      </c>
      <c r="E28" s="92"/>
      <c r="F28" s="83" t="s">
        <v>13</v>
      </c>
      <c r="G28" s="93">
        <v>50357</v>
      </c>
      <c r="H28" s="81">
        <f t="shared" si="4"/>
        <v>3.2299614171035342E-6</v>
      </c>
      <c r="J28" s="83" t="s">
        <v>13</v>
      </c>
      <c r="K28" s="80">
        <v>-15433436</v>
      </c>
      <c r="L28" s="81">
        <f t="shared" si="5"/>
        <v>-9.8310594681985664E-4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>
        <v>0</v>
      </c>
      <c r="H29" s="81" t="str">
        <f t="shared" si="4"/>
        <v/>
      </c>
      <c r="J29" s="83" t="s">
        <v>14</v>
      </c>
      <c r="K29" s="80">
        <v>117915244</v>
      </c>
      <c r="L29" s="81">
        <f t="shared" si="5"/>
        <v>7.5111710442907469E-3</v>
      </c>
    </row>
    <row r="30" spans="1:12" ht="14.1" customHeight="1" x14ac:dyDescent="0.2">
      <c r="B30" s="83" t="s">
        <v>15</v>
      </c>
      <c r="C30" s="80"/>
      <c r="D30" s="81" t="str">
        <f t="shared" si="3"/>
        <v/>
      </c>
      <c r="E30" s="92"/>
      <c r="F30" s="83" t="s">
        <v>15</v>
      </c>
      <c r="G30" s="80"/>
      <c r="H30" s="81" t="str">
        <f t="shared" si="4"/>
        <v/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>
        <v>-221841</v>
      </c>
      <c r="D31" s="81">
        <f t="shared" si="3"/>
        <v>-1.4947071851189774E-6</v>
      </c>
      <c r="E31" s="92"/>
      <c r="F31" s="83" t="s">
        <v>16</v>
      </c>
      <c r="G31" s="93">
        <v>-25232</v>
      </c>
      <c r="H31" s="81">
        <f t="shared" si="4"/>
        <v>-1.6184122659482569E-6</v>
      </c>
      <c r="I31" s="68"/>
      <c r="J31" s="85" t="s">
        <v>16</v>
      </c>
      <c r="K31" s="80">
        <v>-65439</v>
      </c>
      <c r="L31" s="81">
        <f t="shared" si="5"/>
        <v>-4.1684476518349245E-6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2.7686301889550069E-4</v>
      </c>
      <c r="E32" s="92"/>
      <c r="F32" s="86" t="s">
        <v>17</v>
      </c>
      <c r="G32" s="87"/>
      <c r="H32" s="88">
        <f>SUM(H21:H31)</f>
        <v>-8.9506498185949965E-5</v>
      </c>
      <c r="I32" s="68"/>
      <c r="J32" s="86" t="s">
        <v>17</v>
      </c>
      <c r="K32" s="89"/>
      <c r="L32" s="88">
        <f>SUM(L21:L31)</f>
        <v>6.5238966498190557E-3</v>
      </c>
    </row>
    <row r="33" spans="1:11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1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68"/>
      <c r="K34" s="68"/>
    </row>
    <row r="35" spans="1:11" s="96" customFormat="1" ht="14.1" customHeight="1" x14ac:dyDescent="0.2">
      <c r="A35" s="68"/>
      <c r="B35" s="76" t="s">
        <v>46</v>
      </c>
      <c r="C35" s="80">
        <v>5280353</v>
      </c>
      <c r="D35" s="81">
        <f t="shared" ref="D35:D45" si="6">+IF(C35/$C$53=0,"",C35/$C$53)</f>
        <v>1.6069396196455226E-4</v>
      </c>
      <c r="E35" s="79"/>
      <c r="F35" s="76" t="s">
        <v>46</v>
      </c>
      <c r="G35" s="99"/>
      <c r="H35" s="81" t="str">
        <f t="shared" ref="H35:H45" si="7">+IF(G35/$C$54=0,"",G35/$C$54)</f>
        <v/>
      </c>
      <c r="I35" s="68"/>
      <c r="J35" s="68"/>
      <c r="K35" s="68"/>
    </row>
    <row r="36" spans="1:11" s="96" customFormat="1" ht="14.1" customHeight="1" x14ac:dyDescent="0.2">
      <c r="A36" s="68"/>
      <c r="B36" s="76" t="s">
        <v>47</v>
      </c>
      <c r="C36" s="99">
        <v>1369294</v>
      </c>
      <c r="D36" s="81">
        <f t="shared" si="6"/>
        <v>4.1670940930329778E-5</v>
      </c>
      <c r="E36" s="79"/>
      <c r="F36" s="76" t="s">
        <v>47</v>
      </c>
      <c r="G36" s="99"/>
      <c r="H36" s="81" t="str">
        <f>+IF(G36/$C$54=0,"",G36/$C$54)</f>
        <v/>
      </c>
      <c r="I36" s="68"/>
      <c r="J36" s="68"/>
      <c r="K36" s="68"/>
    </row>
    <row r="37" spans="1:11" s="96" customFormat="1" ht="14.1" customHeight="1" x14ac:dyDescent="0.2">
      <c r="A37" s="68"/>
      <c r="B37" s="76" t="s">
        <v>7</v>
      </c>
      <c r="C37" s="99">
        <v>0</v>
      </c>
      <c r="D37" s="81" t="str">
        <f t="shared" si="6"/>
        <v/>
      </c>
      <c r="E37" s="79"/>
      <c r="F37" s="76" t="s">
        <v>7</v>
      </c>
      <c r="G37" s="99"/>
      <c r="H37" s="81" t="str">
        <f t="shared" si="7"/>
        <v/>
      </c>
      <c r="I37" s="68"/>
      <c r="J37" s="68"/>
      <c r="K37" s="68"/>
    </row>
    <row r="38" spans="1:11" s="96" customFormat="1" ht="14.1" customHeight="1" x14ac:dyDescent="0.2">
      <c r="A38" s="68"/>
      <c r="B38" s="83" t="s">
        <v>9</v>
      </c>
      <c r="C38" s="99">
        <f>159438+1115000</f>
        <v>1274438</v>
      </c>
      <c r="D38" s="81">
        <f t="shared" si="6"/>
        <v>3.8784242549348512E-5</v>
      </c>
      <c r="E38" s="79"/>
      <c r="F38" s="83" t="s">
        <v>9</v>
      </c>
      <c r="G38" s="99"/>
      <c r="H38" s="81" t="str">
        <f t="shared" si="7"/>
        <v/>
      </c>
      <c r="I38" s="68"/>
      <c r="J38" s="68"/>
      <c r="K38" s="68"/>
    </row>
    <row r="39" spans="1:11" s="96" customFormat="1" ht="14.1" customHeight="1" x14ac:dyDescent="0.2">
      <c r="A39" s="68"/>
      <c r="B39" s="83" t="s">
        <v>10</v>
      </c>
      <c r="C39" s="100">
        <f>127032580-116270220</f>
        <v>10762360</v>
      </c>
      <c r="D39" s="81">
        <f t="shared" si="6"/>
        <v>3.2752474474506129E-4</v>
      </c>
      <c r="E39" s="79"/>
      <c r="F39" s="83" t="s">
        <v>10</v>
      </c>
      <c r="G39" s="99"/>
      <c r="H39" s="81" t="str">
        <f t="shared" si="7"/>
        <v/>
      </c>
      <c r="I39" s="68"/>
      <c r="J39" s="68"/>
      <c r="K39" s="68"/>
    </row>
    <row r="40" spans="1:11" s="96" customFormat="1" ht="14.1" customHeight="1" x14ac:dyDescent="0.2">
      <c r="A40" s="68"/>
      <c r="B40" s="83" t="s">
        <v>48</v>
      </c>
      <c r="C40" s="100">
        <v>-5993</v>
      </c>
      <c r="D40" s="81">
        <f t="shared" si="6"/>
        <v>-1.8238154041094634E-7</v>
      </c>
      <c r="E40" s="79"/>
      <c r="F40" s="83" t="s">
        <v>48</v>
      </c>
      <c r="G40" s="101"/>
      <c r="H40" s="81" t="str">
        <f t="shared" si="7"/>
        <v/>
      </c>
      <c r="I40" s="68"/>
      <c r="J40" s="102"/>
      <c r="K40" s="68"/>
    </row>
    <row r="41" spans="1:11" s="96" customFormat="1" ht="14.1" customHeight="1" x14ac:dyDescent="0.2">
      <c r="A41" s="68"/>
      <c r="B41" s="83" t="s">
        <v>12</v>
      </c>
      <c r="C41" s="99">
        <f>-244741+1733800+429061+538874-5798111</f>
        <v>-3341117</v>
      </c>
      <c r="D41" s="81">
        <f t="shared" si="6"/>
        <v>-1.0167830221144666E-4</v>
      </c>
      <c r="E41" s="79"/>
      <c r="F41" s="95" t="s">
        <v>49</v>
      </c>
      <c r="G41" s="101"/>
      <c r="H41" s="81" t="str">
        <f t="shared" si="7"/>
        <v/>
      </c>
      <c r="I41" s="68"/>
      <c r="J41" s="102"/>
      <c r="K41" s="68"/>
    </row>
    <row r="42" spans="1:11" s="96" customFormat="1" ht="14.1" customHeight="1" x14ac:dyDescent="0.2">
      <c r="A42" s="68"/>
      <c r="B42" s="83" t="s">
        <v>13</v>
      </c>
      <c r="C42" s="100">
        <v>1837321</v>
      </c>
      <c r="D42" s="81">
        <f t="shared" si="6"/>
        <v>5.5914138863570891E-5</v>
      </c>
      <c r="E42" s="92"/>
      <c r="F42" s="83" t="s">
        <v>13</v>
      </c>
      <c r="G42" s="99">
        <v>-34876305</v>
      </c>
      <c r="H42" s="81">
        <f t="shared" si="7"/>
        <v>-3.0942382169880434E-3</v>
      </c>
      <c r="I42" s="103"/>
      <c r="J42" s="102"/>
      <c r="K42" s="68"/>
    </row>
    <row r="43" spans="1:11" s="96" customFormat="1" ht="14.1" customHeight="1" x14ac:dyDescent="0.2">
      <c r="A43" s="68"/>
      <c r="B43" s="83" t="s">
        <v>53</v>
      </c>
      <c r="C43" s="80">
        <v>-25539</v>
      </c>
      <c r="D43" s="81">
        <f t="shared" si="6"/>
        <v>-7.7721377616471863E-7</v>
      </c>
      <c r="E43" s="92"/>
      <c r="F43" s="83" t="s">
        <v>14</v>
      </c>
      <c r="G43" s="99"/>
      <c r="H43" s="81" t="str">
        <f t="shared" si="7"/>
        <v/>
      </c>
      <c r="I43" s="103"/>
      <c r="J43" s="102"/>
      <c r="K43" s="68"/>
    </row>
    <row r="44" spans="1:11" s="96" customFormat="1" ht="14.1" customHeight="1" x14ac:dyDescent="0.2">
      <c r="A44" s="68"/>
      <c r="B44" s="83" t="s">
        <v>15</v>
      </c>
      <c r="C44" s="99"/>
      <c r="D44" s="81" t="str">
        <f t="shared" si="6"/>
        <v/>
      </c>
      <c r="E44" s="92"/>
      <c r="F44" s="83" t="s">
        <v>15</v>
      </c>
      <c r="G44" s="104"/>
      <c r="H44" s="81" t="str">
        <f t="shared" si="7"/>
        <v/>
      </c>
      <c r="I44" s="103"/>
      <c r="J44" s="102"/>
      <c r="K44" s="68"/>
    </row>
    <row r="45" spans="1:11" s="96" customFormat="1" ht="14.1" customHeight="1" x14ac:dyDescent="0.2">
      <c r="A45" s="68"/>
      <c r="B45" s="83" t="s">
        <v>16</v>
      </c>
      <c r="C45" s="80">
        <f>-90742-11893-98194</f>
        <v>-200829</v>
      </c>
      <c r="D45" s="81">
        <f t="shared" si="6"/>
        <v>-6.1117140629384183E-6</v>
      </c>
      <c r="E45" s="70"/>
      <c r="F45" s="83" t="s">
        <v>16</v>
      </c>
      <c r="G45" s="100">
        <v>-43886</v>
      </c>
      <c r="H45" s="81">
        <f t="shared" si="7"/>
        <v>-3.8935815703738475E-6</v>
      </c>
      <c r="I45" s="68"/>
      <c r="J45" s="102"/>
      <c r="K45" s="105"/>
    </row>
    <row r="46" spans="1:11" ht="14.1" customHeight="1" x14ac:dyDescent="0.2">
      <c r="B46" s="86" t="s">
        <v>17</v>
      </c>
      <c r="C46" s="87"/>
      <c r="D46" s="88">
        <f>SUM(D35:D45)</f>
        <v>5.1583841746190209E-4</v>
      </c>
      <c r="E46" s="106"/>
      <c r="F46" s="86" t="s">
        <v>17</v>
      </c>
      <c r="G46" s="87"/>
      <c r="H46" s="88">
        <f>SUM(H35:H45)</f>
        <v>-3.0981317985584174E-3</v>
      </c>
      <c r="J46" s="102"/>
    </row>
    <row r="47" spans="1:11" s="73" customFormat="1" ht="9.75" customHeight="1" x14ac:dyDescent="0.2">
      <c r="B47" s="68"/>
      <c r="C47" s="97"/>
      <c r="D47" s="68"/>
    </row>
    <row r="48" spans="1:11" ht="41.25" customHeight="1" x14ac:dyDescent="0.2">
      <c r="B48" s="74" t="s">
        <v>56</v>
      </c>
      <c r="C48" s="74" t="s">
        <v>57</v>
      </c>
      <c r="D48" s="107"/>
      <c r="E48" s="108"/>
      <c r="F48" s="97"/>
    </row>
    <row r="49" spans="2:9" ht="14.1" customHeight="1" x14ac:dyDescent="0.2">
      <c r="B49" s="76" t="str">
        <f>+B6</f>
        <v>FI Acciones US</v>
      </c>
      <c r="C49" s="109">
        <f>442996488+1067259224+247385214+442063710</f>
        <v>2199704636</v>
      </c>
      <c r="D49" s="70"/>
      <c r="E49" s="108"/>
      <c r="F49" s="97"/>
      <c r="I49" s="68" t="s">
        <v>58</v>
      </c>
    </row>
    <row r="50" spans="2:9" ht="14.1" customHeight="1" x14ac:dyDescent="0.2">
      <c r="B50" s="83" t="s">
        <v>44</v>
      </c>
      <c r="C50" s="110">
        <f>9945823037+36048500455+15847047938</f>
        <v>61841371430</v>
      </c>
      <c r="D50" s="70"/>
      <c r="E50" s="108"/>
      <c r="F50" s="97"/>
    </row>
    <row r="51" spans="2:9" ht="14.1" customHeight="1" x14ac:dyDescent="0.2">
      <c r="B51" s="83" t="s">
        <v>59</v>
      </c>
      <c r="C51" s="109">
        <f>10497411096+14281159617+13814659817+95106721364+14717746374</f>
        <v>148417698268</v>
      </c>
      <c r="D51" s="70"/>
      <c r="F51" s="97"/>
    </row>
    <row r="52" spans="2:9" ht="14.1" customHeight="1" x14ac:dyDescent="0.2">
      <c r="B52" s="95" t="s">
        <v>51</v>
      </c>
      <c r="C52" s="110">
        <f>5370785488+10219803221</f>
        <v>15590588709</v>
      </c>
      <c r="D52" s="70"/>
      <c r="E52" s="108"/>
      <c r="F52" s="97"/>
    </row>
    <row r="53" spans="2:9" ht="14.1" customHeight="1" x14ac:dyDescent="0.2">
      <c r="B53" s="83" t="s">
        <v>54</v>
      </c>
      <c r="C53" s="109">
        <v>32859685177</v>
      </c>
      <c r="D53" s="70"/>
      <c r="E53" s="108"/>
      <c r="F53" s="97"/>
    </row>
    <row r="54" spans="2:9" ht="14.1" customHeight="1" x14ac:dyDescent="0.2">
      <c r="B54" s="95" t="s">
        <v>60</v>
      </c>
      <c r="C54" s="109">
        <v>11271370384</v>
      </c>
      <c r="D54" s="70"/>
      <c r="E54" s="68"/>
    </row>
    <row r="55" spans="2:9" x14ac:dyDescent="0.2">
      <c r="B55" s="95" t="s">
        <v>61</v>
      </c>
      <c r="C55" s="109">
        <f>2328481539+3384204954+2012958846</f>
        <v>7725645339</v>
      </c>
    </row>
    <row r="56" spans="2:9" x14ac:dyDescent="0.2">
      <c r="B56" s="95" t="s">
        <v>52</v>
      </c>
      <c r="C56" s="109">
        <f>719783285+5096339051+9882527489</f>
        <v>15698649825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2018-03-01T00:11:15Z</dcterms:created>
  <dcterms:modified xsi:type="dcterms:W3CDTF">2018-03-01T00:12:10Z</dcterms:modified>
</cp:coreProperties>
</file>