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ates &amp; FX\DPP\Rentabilidades BBOO\"/>
    </mc:Choice>
  </mc:AlternateContent>
  <xr:revisionPtr revIDLastSave="0" documentId="8_{EB74741D-E46F-4B70-8281-CB09A849C34B}" xr6:coauthVersionLast="28" xr6:coauthVersionMax="28" xr10:uidLastSave="{00000000-0000-0000-0000-000000000000}"/>
  <bookViews>
    <workbookView xWindow="0" yWindow="0" windowWidth="21600" windowHeight="9510" activeTab="1" xr2:uid="{02F9D237-52FC-4470-B5E1-91F55CDDD3DE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4" i="2"/>
  <c r="C52" i="2"/>
  <c r="H31" i="2" s="1"/>
  <c r="C51" i="2"/>
  <c r="C50" i="2"/>
  <c r="C49" i="2"/>
  <c r="B49" i="2"/>
  <c r="H45" i="2"/>
  <c r="D45" i="2"/>
  <c r="H44" i="2"/>
  <c r="D44" i="2"/>
  <c r="H43" i="2"/>
  <c r="D43" i="2"/>
  <c r="H42" i="2"/>
  <c r="D42" i="2"/>
  <c r="H41" i="2"/>
  <c r="D41" i="2"/>
  <c r="C41" i="2"/>
  <c r="H40" i="2"/>
  <c r="D40" i="2"/>
  <c r="H39" i="2"/>
  <c r="C39" i="2"/>
  <c r="D39" i="2" s="1"/>
  <c r="H38" i="2"/>
  <c r="D38" i="2"/>
  <c r="C38" i="2"/>
  <c r="H37" i="2"/>
  <c r="D37" i="2"/>
  <c r="H36" i="2"/>
  <c r="D36" i="2"/>
  <c r="H35" i="2"/>
  <c r="H46" i="2" s="1"/>
  <c r="C35" i="2"/>
  <c r="D35" i="2" s="1"/>
  <c r="D46" i="2" s="1"/>
  <c r="L31" i="2"/>
  <c r="D31" i="2"/>
  <c r="L30" i="2"/>
  <c r="H30" i="2"/>
  <c r="D30" i="2"/>
  <c r="L29" i="2"/>
  <c r="D29" i="2"/>
  <c r="L28" i="2"/>
  <c r="D28" i="2"/>
  <c r="L27" i="2"/>
  <c r="G27" i="2"/>
  <c r="H27" i="2" s="1"/>
  <c r="C27" i="2"/>
  <c r="D27" i="2" s="1"/>
  <c r="L26" i="2"/>
  <c r="D26" i="2"/>
  <c r="L25" i="2"/>
  <c r="G25" i="2"/>
  <c r="H25" i="2" s="1"/>
  <c r="C25" i="2"/>
  <c r="D25" i="2" s="1"/>
  <c r="L24" i="2"/>
  <c r="D24" i="2"/>
  <c r="L23" i="2"/>
  <c r="D23" i="2"/>
  <c r="L22" i="2"/>
  <c r="H22" i="2"/>
  <c r="D22" i="2"/>
  <c r="L21" i="2"/>
  <c r="L32" i="2" s="1"/>
  <c r="G21" i="2"/>
  <c r="H21" i="2" s="1"/>
  <c r="C21" i="2"/>
  <c r="D21" i="2" s="1"/>
  <c r="L17" i="2"/>
  <c r="H17" i="2"/>
  <c r="D17" i="2"/>
  <c r="L16" i="2"/>
  <c r="H16" i="2"/>
  <c r="D16" i="2"/>
  <c r="L15" i="2"/>
  <c r="H15" i="2"/>
  <c r="D15" i="2"/>
  <c r="K14" i="2"/>
  <c r="L14" i="2" s="1"/>
  <c r="H14" i="2"/>
  <c r="D14" i="2"/>
  <c r="L13" i="2"/>
  <c r="H13" i="2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D8" i="2"/>
  <c r="L7" i="2"/>
  <c r="L18" i="2" s="1"/>
  <c r="G7" i="2"/>
  <c r="H7" i="2" s="1"/>
  <c r="H18" i="2" s="1"/>
  <c r="D7" i="2"/>
  <c r="D18" i="2" s="1"/>
  <c r="D32" i="2" l="1"/>
  <c r="H29" i="2"/>
  <c r="H24" i="2"/>
  <c r="H26" i="2"/>
  <c r="H28" i="2"/>
  <c r="H23" i="2"/>
  <c r="H32" i="2" s="1"/>
  <c r="F121" i="1" l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83" i="1"/>
  <c r="D95" i="1" s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H80" i="1" s="1"/>
  <c r="D69" i="1"/>
  <c r="H68" i="1"/>
  <c r="D68" i="1"/>
  <c r="D80" i="1" s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H65" i="1" s="1"/>
  <c r="D54" i="1"/>
  <c r="H53" i="1"/>
  <c r="D53" i="1"/>
  <c r="D65" i="1" s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H37" i="1"/>
  <c r="D37" i="1"/>
  <c r="D49" i="1" s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H22" i="1"/>
  <c r="D22" i="1"/>
  <c r="D34" i="1" s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H19" i="1" s="1"/>
  <c r="D8" i="1"/>
  <c r="H7" i="1"/>
  <c r="D7" i="1"/>
  <c r="D19" i="1" s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<sst xmlns="http://schemas.openxmlformats.org/spreadsheetml/2006/main" count="333" uniqueCount="62">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</sst>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1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3" fillId="2" borderId="0" xfId="0" applyFont="1" applyFill="1"/>
    <xf numFmtId="0" fontId="3" fillId="2" borderId="0" xfId="0" applyFont="1" applyFill="1" applyBorder="1"/>
    <xf numFmtId="14" fontId="9" fillId="2" borderId="0" xfId="0" applyNumberFormat="1" applyFont="1" applyFill="1"/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70" fontId="3" fillId="2" borderId="0" xfId="0" applyNumberFormat="1" applyFont="1" applyFill="1"/>
    <xf numFmtId="3" fontId="3" fillId="2" borderId="0" xfId="0" applyNumberFormat="1" applyFont="1" applyFill="1"/>
    <xf numFmtId="166" fontId="3" fillId="2" borderId="0" xfId="0" applyNumberFormat="1" applyFont="1" applyFill="1"/>
    <xf numFmtId="166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8" fillId="3" borderId="0" xfId="0" applyFont="1" applyFill="1" applyBorder="1" applyAlignment="1">
      <alignment horizontal="center" vertical="top" wrapText="1"/>
    </xf>
    <xf numFmtId="164" fontId="9" fillId="2" borderId="0" xfId="0" applyNumberFormat="1" applyFont="1" applyFill="1" applyAlignment="1">
      <alignment horizontal="center"/>
    </xf>
  </cellXfs>
  <cellStyles count="7">
    <cellStyle name="Millares" xfId="1" builtinId="3"/>
    <cellStyle name="Millares 2" xfId="3" xr:uid="{3ED34FC6-8AF5-4003-AA84-4CA12348D2F1}"/>
    <cellStyle name="Millares 6" xfId="5" xr:uid="{BB456A49-DAB8-4EC6-8876-38658094BC6C}"/>
    <cellStyle name="Normal" xfId="0" builtinId="0"/>
    <cellStyle name="Normal 5" xfId="4" xr:uid="{4E411D37-F6B8-4812-8E0E-DAA101AAD0FB}"/>
    <cellStyle name="Normal 5 2" xfId="6" xr:uid="{6138E018-A763-4D8A-8EE3-7F9CC0B90426}"/>
    <cellStyle name="Porcentaje" xfId="2" builtinId="5"/>
  </cellStyles>
  <dxfs count="8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MX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2" name="Rectángulo 1">
          <a:extLst>
            <a:ext uri="{FF2B5EF4-FFF2-40B4-BE49-F238E27FC236}">
              <a16:creationId xmlns:a16="http://schemas.microsoft.com/office/drawing/2014/main" id="{BD8B082B-2B23-454F-8E29-0EC628F368EA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Rentabilidades%20Fondos\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Rentabilidad 10-2017 FI.xls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8633-181F-45A0-91A8-0F0D407F19C4}">
  <dimension ref="A2:M130"/>
  <sheetViews>
    <sheetView topLeftCell="A85" zoomScale="90" zoomScaleNormal="90" workbookViewId="0">
      <selection activeCell="B133" sqref="B133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107" t="s">
        <v>0</v>
      </c>
      <c r="C2" s="107"/>
      <c r="D2" s="107"/>
      <c r="E2" s="107"/>
      <c r="F2" s="107"/>
      <c r="G2" s="107"/>
      <c r="H2" s="107"/>
    </row>
    <row r="3" spans="1:10" ht="7.5" customHeight="1" x14ac:dyDescent="0.2"/>
    <row r="4" spans="1:10" x14ac:dyDescent="0.2">
      <c r="A4" s="3"/>
      <c r="B4" s="108">
        <v>43167</v>
      </c>
      <c r="C4" s="108"/>
      <c r="D4" s="108"/>
      <c r="E4" s="108"/>
      <c r="F4" s="108"/>
      <c r="G4" s="108"/>
      <c r="H4" s="108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5542758</v>
      </c>
      <c r="D7" s="10">
        <f>+IF(C7/$F$120=0,"",C7/$F$120)</f>
        <v>7.5994555589063055E-5</v>
      </c>
      <c r="E7" s="11"/>
      <c r="F7" s="8" t="s">
        <v>5</v>
      </c>
      <c r="G7" s="9">
        <v>322742</v>
      </c>
      <c r="H7" s="12">
        <f>+IF(G7/$C$122=0,"",G7/$C$122)</f>
        <v>4.6841762922564487E-5</v>
      </c>
    </row>
    <row r="8" spans="1:10" ht="12.75" x14ac:dyDescent="0.2">
      <c r="B8" s="8" t="s">
        <v>6</v>
      </c>
      <c r="C8" s="9">
        <v>1385246</v>
      </c>
      <c r="D8" s="10">
        <f>+IF(C8/$F$120=0,"",C8/$F$120)</f>
        <v>1.8992558244745169E-5</v>
      </c>
      <c r="E8" s="11"/>
      <c r="F8" s="8" t="s">
        <v>6</v>
      </c>
      <c r="G8" s="9">
        <v>367061</v>
      </c>
      <c r="H8" s="12">
        <f t="shared" ref="H8:H18" si="0">+IF(G8/$C$122=0,"",G8/$C$122)</f>
        <v>5.3274083757674684E-5</v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/>
      <c r="D11" s="10" t="str">
        <f t="shared" ref="D11:D14" si="1">+IF(C11/$F$120=0,"",C11/$F$120)</f>
        <v/>
      </c>
      <c r="E11" s="11"/>
      <c r="F11" s="8" t="s">
        <v>9</v>
      </c>
      <c r="G11" s="9">
        <v>7619</v>
      </c>
      <c r="H11" s="12">
        <f t="shared" si="0"/>
        <v>1.105797794235082E-6</v>
      </c>
    </row>
    <row r="12" spans="1:10" ht="12.75" x14ac:dyDescent="0.2">
      <c r="B12" s="8" t="s">
        <v>10</v>
      </c>
      <c r="C12" s="9">
        <v>-1170743.7185811829</v>
      </c>
      <c r="D12" s="10">
        <f t="shared" si="1"/>
        <v>-1.6051602578042211E-5</v>
      </c>
      <c r="E12" s="11"/>
      <c r="F12" s="8" t="s">
        <v>10</v>
      </c>
      <c r="G12" s="9">
        <v>-230900</v>
      </c>
      <c r="H12" s="12">
        <f t="shared" si="0"/>
        <v>-3.3512102728557608E-5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-4300642</v>
      </c>
      <c r="H14" s="12">
        <f t="shared" si="0"/>
        <v>-6.2418170854373954E-4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/>
      <c r="H15" s="12" t="str">
        <f t="shared" si="0"/>
        <v/>
      </c>
    </row>
    <row r="16" spans="1:10" ht="12.75" x14ac:dyDescent="0.2">
      <c r="B16" s="8" t="s">
        <v>14</v>
      </c>
      <c r="C16" s="9"/>
      <c r="D16" s="10" t="str">
        <f>+IF(C16/$F$120=0,"",C16/$F$120)</f>
        <v/>
      </c>
      <c r="E16" s="11"/>
      <c r="F16" s="8" t="s">
        <v>14</v>
      </c>
      <c r="G16" s="9">
        <v>330071</v>
      </c>
      <c r="H16" s="12">
        <f t="shared" si="0"/>
        <v>4.7905471025195921E-5</v>
      </c>
    </row>
    <row r="17" spans="2:9" ht="12.75" x14ac:dyDescent="0.2">
      <c r="B17" s="8" t="s">
        <v>15</v>
      </c>
      <c r="C17" s="9">
        <v>1191097</v>
      </c>
      <c r="D17" s="10">
        <f>+IF(C17/$F$120=0,"",C17/$F$120)</f>
        <v>1.6330658343457577E-5</v>
      </c>
      <c r="E17" s="11"/>
      <c r="F17" s="8" t="s">
        <v>15</v>
      </c>
      <c r="G17" s="9"/>
      <c r="H17" s="12" t="str">
        <f t="shared" si="0"/>
        <v/>
      </c>
    </row>
    <row r="18" spans="2:9" ht="12.75" x14ac:dyDescent="0.2">
      <c r="B18" s="8" t="s">
        <v>16</v>
      </c>
      <c r="C18" s="9">
        <v>-255090</v>
      </c>
      <c r="D18" s="10">
        <f>+IF(C18/$F$120=0,"",C18/$F$120)</f>
        <v>-3.4974377710905102E-6</v>
      </c>
      <c r="E18" s="15"/>
      <c r="F18" s="8" t="s">
        <v>16</v>
      </c>
      <c r="G18" s="9">
        <v>-31333</v>
      </c>
      <c r="H18" s="12">
        <f t="shared" si="0"/>
        <v>-4.5475734724724798E-6</v>
      </c>
    </row>
    <row r="19" spans="2:9" s="20" customFormat="1" x14ac:dyDescent="0.2">
      <c r="B19" s="16" t="s">
        <v>17</v>
      </c>
      <c r="C19" s="17">
        <f>SUM(C7:C18)</f>
        <v>6693267.2814188171</v>
      </c>
      <c r="D19" s="18">
        <f>SUM(D7:D18)</f>
        <v>9.1768731828133094E-5</v>
      </c>
      <c r="E19" s="19"/>
      <c r="F19" s="16" t="s">
        <v>17</v>
      </c>
      <c r="G19" s="17">
        <f>SUM(G7:G18)</f>
        <v>-3535382</v>
      </c>
      <c r="H19" s="18">
        <f>SUM(H7:H18)</f>
        <v>-5.1311426924509937E-4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1670.1708000000001</v>
      </c>
      <c r="D22" s="12">
        <f>+IF(C22/$F$121=0,"",C22/$F$121)</f>
        <v>4.7692705106541768E-5</v>
      </c>
      <c r="E22" s="15"/>
      <c r="F22" s="8" t="s">
        <v>5</v>
      </c>
      <c r="G22" s="9">
        <v>2364543</v>
      </c>
      <c r="H22" s="12">
        <f>+IF(G22/$C$115=0,"",G22/$C$115)</f>
        <v>6.3706528427795407E-5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>
        <v>1961051</v>
      </c>
      <c r="H23" s="12">
        <f t="shared" ref="H23:H33" si="2">+IF(G23/$C$115=0,"",G23/$C$115)</f>
        <v>5.2835474457371515E-5</v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152.51540894220301</v>
      </c>
      <c r="D26" s="12">
        <f>+IF(C26/$F$121=0,"",C26/$F$121)</f>
        <v>4.3551668026312698E-6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9087.6427316660247</v>
      </c>
      <c r="D27" s="12">
        <f t="shared" ref="D27:D33" si="3">+IF(C27/$F$121=0,"",C27/$F$121)</f>
        <v>2.5950295916738294E-4</v>
      </c>
      <c r="E27" s="15"/>
      <c r="F27" s="8" t="s">
        <v>10</v>
      </c>
      <c r="G27" s="9">
        <v>370400</v>
      </c>
      <c r="H27" s="12">
        <f t="shared" si="2"/>
        <v>9.9794751584790037E-6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-10931628</v>
      </c>
      <c r="H29" s="12">
        <f t="shared" si="2"/>
        <v>-2.9452459521526325E-4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-9068.1424000000006</v>
      </c>
      <c r="D31" s="12">
        <f t="shared" si="3"/>
        <v>-2.5894611577889393E-4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/>
      <c r="D32" s="12" t="str">
        <f t="shared" si="3"/>
        <v/>
      </c>
      <c r="E32" s="15"/>
      <c r="F32" s="8" t="s">
        <v>15</v>
      </c>
      <c r="G32" s="9">
        <v>-779277</v>
      </c>
      <c r="H32" s="12">
        <f t="shared" si="2"/>
        <v>-2.0995614101171822E-5</v>
      </c>
    </row>
    <row r="33" spans="1:13" ht="12.75" x14ac:dyDescent="0.2">
      <c r="B33" s="8" t="s">
        <v>16</v>
      </c>
      <c r="C33" s="22">
        <v>-172.79</v>
      </c>
      <c r="D33" s="12">
        <f t="shared" si="3"/>
        <v>-4.9341196213940218E-6</v>
      </c>
      <c r="E33" s="15"/>
      <c r="F33" s="8" t="s">
        <v>16</v>
      </c>
      <c r="G33" s="9">
        <v>-104460</v>
      </c>
      <c r="H33" s="12">
        <f t="shared" si="2"/>
        <v>-2.8144059801693217E-6</v>
      </c>
    </row>
    <row r="34" spans="1:13" s="20" customFormat="1" x14ac:dyDescent="0.2">
      <c r="B34" s="16" t="s">
        <v>17</v>
      </c>
      <c r="C34" s="24">
        <f>SUM(C22:C33)</f>
        <v>1669.396540608227</v>
      </c>
      <c r="D34" s="18">
        <f>SUM(D22:D33)</f>
        <v>4.7670595676268046E-5</v>
      </c>
      <c r="E34" s="19"/>
      <c r="F34" s="16" t="s">
        <v>17</v>
      </c>
      <c r="G34" s="24">
        <f>SUM(G22:G33)</f>
        <v>-7119371</v>
      </c>
      <c r="H34" s="18">
        <f>SUM(H22:H33)</f>
        <v>-1.9181313725295844E-4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2532116</v>
      </c>
      <c r="D37" s="12">
        <f t="shared" ref="D37:D48" si="4">+IF(C37/$C$123=0,"",C37/$C$123)</f>
        <v>3.4500179630513262E-5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>
        <v>6890629</v>
      </c>
      <c r="D38" s="12">
        <f t="shared" si="4"/>
        <v>9.3885089888150457E-5</v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/>
      <c r="H39" s="12" t="str">
        <f t="shared" si="5"/>
        <v/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>
        <v>-10444000</v>
      </c>
      <c r="D42" s="12">
        <f t="shared" si="4"/>
        <v>-1.4229990887505963E-4</v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-41849674</v>
      </c>
      <c r="D44" s="12">
        <f t="shared" si="4"/>
        <v>-5.7020344663452247E-4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-16574804</v>
      </c>
      <c r="D45" s="12">
        <f t="shared" si="4"/>
        <v>-2.2583235339160992E-4</v>
      </c>
      <c r="E45" s="11"/>
      <c r="F45" s="8" t="s">
        <v>13</v>
      </c>
      <c r="G45" s="28">
        <v>20090312</v>
      </c>
      <c r="H45" s="12">
        <f t="shared" si="5"/>
        <v>4.1883320805651235E-3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-5579055</v>
      </c>
      <c r="D47" s="12">
        <f t="shared" si="4"/>
        <v>-7.6014842790975281E-5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-470845</v>
      </c>
      <c r="D48" s="12">
        <f t="shared" si="4"/>
        <v>-6.4152815582418097E-6</v>
      </c>
      <c r="E48" s="11"/>
      <c r="F48" s="8" t="s">
        <v>16</v>
      </c>
      <c r="G48" s="28">
        <v>-25965</v>
      </c>
      <c r="H48" s="12">
        <f t="shared" si="5"/>
        <v>-5.4130589147581899E-6</v>
      </c>
    </row>
    <row r="49" spans="2:10" s="20" customFormat="1" x14ac:dyDescent="0.2">
      <c r="B49" s="16" t="s">
        <v>17</v>
      </c>
      <c r="C49" s="17">
        <f>SUM(C37:C48)</f>
        <v>-65495633</v>
      </c>
      <c r="D49" s="18">
        <f>SUM(D37:D48)</f>
        <v>-8.9238056373174544E-4</v>
      </c>
      <c r="E49" s="19"/>
      <c r="F49" s="16" t="s">
        <v>17</v>
      </c>
      <c r="G49" s="17">
        <f>SUM(G37:G48)</f>
        <v>20064347</v>
      </c>
      <c r="H49" s="18">
        <f>SUM(H37:H48)</f>
        <v>4.1829190216503649E-3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13198.3097</v>
      </c>
      <c r="H53" s="12">
        <f t="shared" ref="H53:H64" si="7">+IF(G53/$C$124=0,"",G53/$C$124)</f>
        <v>1.3245183893209451E-4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36902.701000000001</v>
      </c>
      <c r="H60" s="12">
        <f t="shared" si="7"/>
        <v>3.7033762050690805E-4</v>
      </c>
    </row>
    <row r="61" spans="2:10" x14ac:dyDescent="0.2">
      <c r="B61" s="8" t="s">
        <v>13</v>
      </c>
      <c r="C61" s="31">
        <v>174760273</v>
      </c>
      <c r="D61" s="12">
        <f t="shared" si="6"/>
        <v>5.7744334605712155E-3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>
        <v>2555</v>
      </c>
      <c r="H63" s="12">
        <f t="shared" si="7"/>
        <v>2.564074159219809E-5</v>
      </c>
    </row>
    <row r="64" spans="2:10" x14ac:dyDescent="0.2">
      <c r="B64" s="8" t="s">
        <v>16</v>
      </c>
      <c r="C64" s="31">
        <v>-248749</v>
      </c>
      <c r="D64" s="12">
        <f t="shared" si="6"/>
        <v>-8.2191708917943225E-6</v>
      </c>
      <c r="E64" s="11"/>
      <c r="F64" s="8" t="s">
        <v>16</v>
      </c>
      <c r="G64" s="35">
        <v>-122.79</v>
      </c>
      <c r="H64" s="12">
        <f t="shared" si="7"/>
        <v>-1.2322609237205492E-6</v>
      </c>
    </row>
    <row r="65" spans="2:8" s="20" customFormat="1" x14ac:dyDescent="0.2">
      <c r="B65" s="16" t="s">
        <v>17</v>
      </c>
      <c r="C65" s="17">
        <f>SUM(C53:C64)</f>
        <v>174511524</v>
      </c>
      <c r="D65" s="18">
        <f>SUM(D53:D64)</f>
        <v>5.7662142896794215E-3</v>
      </c>
      <c r="E65" s="19"/>
      <c r="F65" s="16" t="s">
        <v>17</v>
      </c>
      <c r="G65" s="24">
        <f>SUM(G53:G64)</f>
        <v>52533.220699999998</v>
      </c>
      <c r="H65" s="18">
        <f>SUM(H53:H64)</f>
        <v>5.2719794010748012E-4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1686306</v>
      </c>
      <c r="D72" s="12">
        <f t="shared" si="8"/>
        <v>9.4760129247640606E-5</v>
      </c>
      <c r="E72" s="11"/>
      <c r="F72" s="8" t="s">
        <v>9</v>
      </c>
      <c r="G72" s="28">
        <v>166770</v>
      </c>
      <c r="H72" s="12">
        <f t="shared" si="9"/>
        <v>2.6146938375887824E-5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86486562</v>
      </c>
      <c r="D76" s="12">
        <f t="shared" si="8"/>
        <v>4.8600181659224856E-3</v>
      </c>
      <c r="E76" s="11"/>
      <c r="F76" s="8" t="s">
        <v>13</v>
      </c>
      <c r="G76" s="31">
        <v>-5496272</v>
      </c>
      <c r="H76" s="12">
        <f t="shared" si="9"/>
        <v>-8.6172983918641078E-4</v>
      </c>
    </row>
    <row r="77" spans="2:8" x14ac:dyDescent="0.2">
      <c r="B77" s="8" t="s">
        <v>14</v>
      </c>
      <c r="C77" s="28">
        <v>93620465</v>
      </c>
      <c r="D77" s="12">
        <f t="shared" si="8"/>
        <v>5.2609000760385207E-3</v>
      </c>
      <c r="E77" s="11"/>
      <c r="F77" s="8" t="s">
        <v>14</v>
      </c>
      <c r="G77" s="28">
        <v>34767629</v>
      </c>
      <c r="H77" s="12">
        <f t="shared" si="9"/>
        <v>5.4510226835685705E-3</v>
      </c>
    </row>
    <row r="78" spans="2:8" x14ac:dyDescent="0.2">
      <c r="B78" s="8" t="s">
        <v>15</v>
      </c>
      <c r="C78" s="31"/>
      <c r="D78" s="12" t="str">
        <f t="shared" si="8"/>
        <v/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-21314</v>
      </c>
      <c r="D79" s="12">
        <f t="shared" si="8"/>
        <v>-1.1977170186100341E-6</v>
      </c>
      <c r="E79" s="11"/>
      <c r="F79" s="8" t="s">
        <v>16</v>
      </c>
      <c r="G79" s="31">
        <v>-16232</v>
      </c>
      <c r="H79" s="12">
        <f t="shared" si="9"/>
        <v>-2.5449247689477194E-6</v>
      </c>
    </row>
    <row r="80" spans="2:8" s="20" customFormat="1" x14ac:dyDescent="0.2">
      <c r="B80" s="16" t="s">
        <v>17</v>
      </c>
      <c r="C80" s="17">
        <f>SUM(C68:C79)</f>
        <v>181772019</v>
      </c>
      <c r="D80" s="18">
        <f>SUM(D68:D79)</f>
        <v>1.0214480654190035E-2</v>
      </c>
      <c r="E80" s="19"/>
      <c r="F80" s="16" t="s">
        <v>17</v>
      </c>
      <c r="G80" s="17">
        <f>SUM(G68:G79)</f>
        <v>29421895</v>
      </c>
      <c r="H80" s="18">
        <f>SUM(H68:H79)</f>
        <v>4.6128948579891001E-3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-3.68</v>
      </c>
      <c r="D87" s="12">
        <f t="shared" si="10"/>
        <v>-5.2117750644991969E-8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49676.412400000001</v>
      </c>
      <c r="D90" s="12">
        <f t="shared" si="10"/>
        <v>7.0353882456548563E-4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-132701.1795</v>
      </c>
      <c r="D92" s="12">
        <f t="shared" si="10"/>
        <v>-1.8793714629014456E-3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-83028.44709999999</v>
      </c>
      <c r="D95" s="40">
        <f>SUM(D83:D94)</f>
        <v>-1.1758847560866051E-3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37116180372</v>
      </c>
      <c r="D115" s="54"/>
      <c r="E115" s="1"/>
      <c r="F115" s="55"/>
      <c r="G115" s="14"/>
      <c r="H115" s="56"/>
      <c r="I115" s="57"/>
    </row>
    <row r="116" spans="1:13" x14ac:dyDescent="0.2">
      <c r="B116" s="52" t="s">
        <v>26</v>
      </c>
      <c r="C116" s="53">
        <v>30264488143</v>
      </c>
      <c r="D116" s="54"/>
      <c r="E116" s="58"/>
      <c r="F116" s="55"/>
      <c r="G116" s="59"/>
      <c r="H116" s="59"/>
      <c r="I116" s="57"/>
    </row>
    <row r="117" spans="1:13" x14ac:dyDescent="0.2">
      <c r="B117" s="52" t="s">
        <v>30</v>
      </c>
      <c r="C117" s="53">
        <v>17795522372</v>
      </c>
      <c r="D117" s="54"/>
      <c r="E117" s="58"/>
      <c r="F117" s="55"/>
      <c r="G117" s="14"/>
      <c r="H117" s="56"/>
      <c r="I117" s="57"/>
    </row>
    <row r="118" spans="1:13" x14ac:dyDescent="0.2">
      <c r="B118" s="52" t="s">
        <v>25</v>
      </c>
      <c r="C118" s="53">
        <v>4796733309</v>
      </c>
      <c r="D118" s="54"/>
      <c r="E118" s="58"/>
      <c r="F118" s="55"/>
      <c r="G118" s="59"/>
      <c r="H118" s="59"/>
      <c r="I118" s="57"/>
    </row>
    <row r="119" spans="1:13" x14ac:dyDescent="0.2">
      <c r="B119" s="52" t="s">
        <v>31</v>
      </c>
      <c r="C119" s="53">
        <v>6378184612</v>
      </c>
      <c r="D119" s="54"/>
      <c r="E119" s="58"/>
      <c r="F119" s="55"/>
      <c r="G119" s="14"/>
      <c r="H119" s="56"/>
      <c r="I119" s="57"/>
    </row>
    <row r="120" spans="1:13" x14ac:dyDescent="0.2">
      <c r="B120" s="52" t="s">
        <v>1</v>
      </c>
      <c r="C120" s="53">
        <v>72754735241</v>
      </c>
      <c r="D120" s="55">
        <v>181516008</v>
      </c>
      <c r="F120" s="55">
        <f>+C120+D120</f>
        <v>72936251249</v>
      </c>
      <c r="G120" s="59"/>
      <c r="H120" s="59"/>
      <c r="I120" s="57"/>
    </row>
    <row r="121" spans="1:13" x14ac:dyDescent="0.2">
      <c r="B121" s="52" t="s">
        <v>18</v>
      </c>
      <c r="C121" s="60">
        <v>31562000.109999999</v>
      </c>
      <c r="D121" s="61">
        <v>3457418.4</v>
      </c>
      <c r="F121" s="55">
        <f>+C121+D121</f>
        <v>35019418.509999998</v>
      </c>
      <c r="G121" s="14"/>
      <c r="H121" s="56"/>
      <c r="I121" s="57"/>
    </row>
    <row r="122" spans="1:13" x14ac:dyDescent="0.2">
      <c r="B122" s="52" t="s">
        <v>4</v>
      </c>
      <c r="C122" s="53">
        <v>6890048108</v>
      </c>
      <c r="D122" s="54"/>
      <c r="F122" s="55"/>
      <c r="G122" s="59"/>
      <c r="H122" s="59"/>
      <c r="I122" s="57"/>
    </row>
    <row r="123" spans="1:13" x14ac:dyDescent="0.2">
      <c r="B123" s="52" t="s">
        <v>24</v>
      </c>
      <c r="C123" s="53">
        <v>73394284526</v>
      </c>
      <c r="D123" s="54"/>
      <c r="F123" s="55"/>
      <c r="G123" s="14"/>
      <c r="H123" s="56"/>
      <c r="I123" s="57"/>
    </row>
    <row r="124" spans="1:13" x14ac:dyDescent="0.2">
      <c r="B124" s="52" t="s">
        <v>27</v>
      </c>
      <c r="C124" s="60">
        <v>99646103.870000005</v>
      </c>
      <c r="D124" s="54"/>
      <c r="E124" s="58"/>
      <c r="F124" s="55"/>
      <c r="G124" s="59"/>
      <c r="H124" s="59"/>
      <c r="I124" s="57"/>
    </row>
    <row r="125" spans="1:13" x14ac:dyDescent="0.2">
      <c r="B125" s="62" t="s">
        <v>42</v>
      </c>
      <c r="C125" s="63">
        <v>70609340.473399997</v>
      </c>
      <c r="D125" s="54"/>
      <c r="E125" s="58"/>
      <c r="F125" s="55"/>
      <c r="G125" s="5"/>
    </row>
    <row r="126" spans="1:13" x14ac:dyDescent="0.2">
      <c r="C126" s="64"/>
    </row>
    <row r="128" spans="1:13" s="2" customFormat="1" x14ac:dyDescent="0.2">
      <c r="A128" s="1"/>
      <c r="B128" s="1"/>
      <c r="C128" s="1"/>
      <c r="D128" s="65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5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5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82" priority="48" stopIfTrue="1" operator="lessThan">
      <formula>0</formula>
    </cfRule>
  </conditionalFormatting>
  <conditionalFormatting sqref="C29:C33">
    <cfRule type="cellIs" dxfId="81" priority="47" stopIfTrue="1" operator="lessThan">
      <formula>0</formula>
    </cfRule>
  </conditionalFormatting>
  <conditionalFormatting sqref="C22">
    <cfRule type="cellIs" dxfId="80" priority="45" stopIfTrue="1" operator="lessThan">
      <formula>0</formula>
    </cfRule>
  </conditionalFormatting>
  <conditionalFormatting sqref="C25:C28">
    <cfRule type="cellIs" dxfId="79" priority="44" stopIfTrue="1" operator="lessThan">
      <formula>0</formula>
    </cfRule>
  </conditionalFormatting>
  <conditionalFormatting sqref="C22:C24">
    <cfRule type="cellIs" dxfId="78" priority="46" stopIfTrue="1" operator="lessThan">
      <formula>0</formula>
    </cfRule>
  </conditionalFormatting>
  <conditionalFormatting sqref="C40:C43">
    <cfRule type="cellIs" dxfId="77" priority="40" stopIfTrue="1" operator="lessThan">
      <formula>0</formula>
    </cfRule>
  </conditionalFormatting>
  <conditionalFormatting sqref="G44 G46:G48">
    <cfRule type="cellIs" dxfId="76" priority="39" stopIfTrue="1" operator="lessThan">
      <formula>0</formula>
    </cfRule>
  </conditionalFormatting>
  <conditionalFormatting sqref="G37">
    <cfRule type="cellIs" dxfId="75" priority="37" stopIfTrue="1" operator="lessThan">
      <formula>0</formula>
    </cfRule>
  </conditionalFormatting>
  <conditionalFormatting sqref="C44:C48">
    <cfRule type="cellIs" dxfId="74" priority="43" stopIfTrue="1" operator="lessThan">
      <formula>0</formula>
    </cfRule>
  </conditionalFormatting>
  <conditionalFormatting sqref="C37:C39">
    <cfRule type="cellIs" dxfId="73" priority="42" stopIfTrue="1" operator="lessThan">
      <formula>0</formula>
    </cfRule>
  </conditionalFormatting>
  <conditionalFormatting sqref="C37">
    <cfRule type="cellIs" dxfId="72" priority="41" stopIfTrue="1" operator="lessThan">
      <formula>0</formula>
    </cfRule>
  </conditionalFormatting>
  <conditionalFormatting sqref="C56:C59">
    <cfRule type="cellIs" dxfId="71" priority="32" stopIfTrue="1" operator="lessThan">
      <formula>0</formula>
    </cfRule>
  </conditionalFormatting>
  <conditionalFormatting sqref="G37:G39">
    <cfRule type="cellIs" dxfId="70" priority="38" stopIfTrue="1" operator="lessThan">
      <formula>0</formula>
    </cfRule>
  </conditionalFormatting>
  <conditionalFormatting sqref="G40:G43">
    <cfRule type="cellIs" dxfId="69" priority="36" stopIfTrue="1" operator="lessThan">
      <formula>0</formula>
    </cfRule>
  </conditionalFormatting>
  <conditionalFormatting sqref="C60:C64">
    <cfRule type="cellIs" dxfId="68" priority="35" stopIfTrue="1" operator="lessThan">
      <formula>0</formula>
    </cfRule>
  </conditionalFormatting>
  <conditionalFormatting sqref="C53:C55">
    <cfRule type="cellIs" dxfId="67" priority="34" stopIfTrue="1" operator="lessThan">
      <formula>0</formula>
    </cfRule>
  </conditionalFormatting>
  <conditionalFormatting sqref="C53">
    <cfRule type="cellIs" dxfId="66" priority="33" stopIfTrue="1" operator="lessThan">
      <formula>0</formula>
    </cfRule>
  </conditionalFormatting>
  <conditionalFormatting sqref="C75:C78">
    <cfRule type="cellIs" dxfId="65" priority="31" stopIfTrue="1" operator="lessThan">
      <formula>0</formula>
    </cfRule>
  </conditionalFormatting>
  <conditionalFormatting sqref="C68:C70">
    <cfRule type="cellIs" dxfId="64" priority="30" stopIfTrue="1" operator="lessThan">
      <formula>0</formula>
    </cfRule>
  </conditionalFormatting>
  <conditionalFormatting sqref="C68">
    <cfRule type="cellIs" dxfId="63" priority="29" stopIfTrue="1" operator="lessThan">
      <formula>0</formula>
    </cfRule>
  </conditionalFormatting>
  <conditionalFormatting sqref="C71:C74">
    <cfRule type="cellIs" dxfId="62" priority="28" stopIfTrue="1" operator="lessThan">
      <formula>0</formula>
    </cfRule>
  </conditionalFormatting>
  <conditionalFormatting sqref="G75:G79">
    <cfRule type="cellIs" dxfId="61" priority="27" stopIfTrue="1" operator="lessThan">
      <formula>0</formula>
    </cfRule>
  </conditionalFormatting>
  <conditionalFormatting sqref="G68:G70">
    <cfRule type="cellIs" dxfId="60" priority="26" stopIfTrue="1" operator="lessThan">
      <formula>0</formula>
    </cfRule>
  </conditionalFormatting>
  <conditionalFormatting sqref="G68">
    <cfRule type="cellIs" dxfId="59" priority="25" stopIfTrue="1" operator="lessThan">
      <formula>0</formula>
    </cfRule>
  </conditionalFormatting>
  <conditionalFormatting sqref="G71:G74">
    <cfRule type="cellIs" dxfId="58" priority="24" stopIfTrue="1" operator="lessThan">
      <formula>0</formula>
    </cfRule>
  </conditionalFormatting>
  <conditionalFormatting sqref="C79">
    <cfRule type="cellIs" dxfId="57" priority="23" stopIfTrue="1" operator="lessThan">
      <formula>0</formula>
    </cfRule>
  </conditionalFormatting>
  <conditionalFormatting sqref="G56:G59">
    <cfRule type="cellIs" dxfId="56" priority="19" stopIfTrue="1" operator="lessThan">
      <formula>0</formula>
    </cfRule>
  </conditionalFormatting>
  <conditionalFormatting sqref="G60:G64">
    <cfRule type="cellIs" dxfId="55" priority="22" stopIfTrue="1" operator="lessThan">
      <formula>0</formula>
    </cfRule>
  </conditionalFormatting>
  <conditionalFormatting sqref="G53:G55">
    <cfRule type="cellIs" dxfId="54" priority="21" stopIfTrue="1" operator="lessThan">
      <formula>0</formula>
    </cfRule>
  </conditionalFormatting>
  <conditionalFormatting sqref="G53">
    <cfRule type="cellIs" dxfId="53" priority="20" stopIfTrue="1" operator="lessThan">
      <formula>0</formula>
    </cfRule>
  </conditionalFormatting>
  <conditionalFormatting sqref="C90:C93">
    <cfRule type="cellIs" dxfId="52" priority="18" stopIfTrue="1" operator="lessThan">
      <formula>0</formula>
    </cfRule>
  </conditionalFormatting>
  <conditionalFormatting sqref="C83:C85">
    <cfRule type="cellIs" dxfId="51" priority="17" stopIfTrue="1" operator="lessThan">
      <formula>0</formula>
    </cfRule>
  </conditionalFormatting>
  <conditionalFormatting sqref="C83">
    <cfRule type="cellIs" dxfId="50" priority="16" stopIfTrue="1" operator="lessThan">
      <formula>0</formula>
    </cfRule>
  </conditionalFormatting>
  <conditionalFormatting sqref="C86:C89">
    <cfRule type="cellIs" dxfId="49" priority="15" stopIfTrue="1" operator="lessThan">
      <formula>0</formula>
    </cfRule>
  </conditionalFormatting>
  <conditionalFormatting sqref="C94">
    <cfRule type="cellIs" dxfId="48" priority="14" stopIfTrue="1" operator="lessThan">
      <formula>0</formula>
    </cfRule>
  </conditionalFormatting>
  <conditionalFormatting sqref="G29:G33">
    <cfRule type="cellIs" dxfId="47" priority="13" stopIfTrue="1" operator="lessThan">
      <formula>0</formula>
    </cfRule>
  </conditionalFormatting>
  <conditionalFormatting sqref="G22:G24">
    <cfRule type="cellIs" dxfId="46" priority="12" stopIfTrue="1" operator="lessThan">
      <formula>0</formula>
    </cfRule>
  </conditionalFormatting>
  <conditionalFormatting sqref="G25:G28">
    <cfRule type="cellIs" dxfId="45" priority="10" stopIfTrue="1" operator="lessThan">
      <formula>0</formula>
    </cfRule>
  </conditionalFormatting>
  <conditionalFormatting sqref="G22">
    <cfRule type="cellIs" dxfId="44" priority="11" stopIfTrue="1" operator="lessThan">
      <formula>0</formula>
    </cfRule>
  </conditionalFormatting>
  <conditionalFormatting sqref="G45">
    <cfRule type="cellIs" dxfId="43" priority="9" stopIfTrue="1" operator="lessThan">
      <formula>0</formula>
    </cfRule>
  </conditionalFormatting>
  <conditionalFormatting sqref="G14:G18">
    <cfRule type="cellIs" dxfId="42" priority="8" stopIfTrue="1" operator="lessThan">
      <formula>0</formula>
    </cfRule>
  </conditionalFormatting>
  <conditionalFormatting sqref="G7:G9">
    <cfRule type="cellIs" dxfId="41" priority="7" stopIfTrue="1" operator="lessThan">
      <formula>0</formula>
    </cfRule>
  </conditionalFormatting>
  <conditionalFormatting sqref="G10:G13">
    <cfRule type="cellIs" dxfId="40" priority="5" stopIfTrue="1" operator="lessThan">
      <formula>0</formula>
    </cfRule>
  </conditionalFormatting>
  <conditionalFormatting sqref="G7">
    <cfRule type="cellIs" dxfId="39" priority="6" stopIfTrue="1" operator="lessThan">
      <formula>0</formula>
    </cfRule>
  </conditionalFormatting>
  <conditionalFormatting sqref="C14:C18">
    <cfRule type="cellIs" dxfId="38" priority="4" stopIfTrue="1" operator="lessThan">
      <formula>0</formula>
    </cfRule>
  </conditionalFormatting>
  <conditionalFormatting sqref="C7:C9">
    <cfRule type="cellIs" dxfId="37" priority="3" stopIfTrue="1" operator="lessThan">
      <formula>0</formula>
    </cfRule>
  </conditionalFormatting>
  <conditionalFormatting sqref="C10:C13">
    <cfRule type="cellIs" dxfId="36" priority="1" stopIfTrue="1" operator="lessThan">
      <formula>0</formula>
    </cfRule>
  </conditionalFormatting>
  <conditionalFormatting sqref="C7">
    <cfRule type="cellIs" dxfId="35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445E-BCEF-4FED-836E-1D369D900629}">
  <dimension ref="A2:L56"/>
  <sheetViews>
    <sheetView tabSelected="1" zoomScale="90" zoomScaleNormal="90" workbookViewId="0">
      <selection activeCell="J22" sqref="J22"/>
    </sheetView>
  </sheetViews>
  <sheetFormatPr baseColWidth="10" defaultRowHeight="12.75" x14ac:dyDescent="0.2"/>
  <cols>
    <col min="1" max="1" width="3" style="66" customWidth="1"/>
    <col min="2" max="2" width="31.85546875" style="66" customWidth="1"/>
    <col min="3" max="3" width="20.5703125" style="66" customWidth="1"/>
    <col min="4" max="4" width="12.85546875" style="66" customWidth="1"/>
    <col min="5" max="5" width="1.5703125" style="67" customWidth="1"/>
    <col min="6" max="6" width="31.85546875" style="66" customWidth="1"/>
    <col min="7" max="7" width="15.7109375" style="66" customWidth="1"/>
    <col min="8" max="8" width="16.42578125" style="66" customWidth="1"/>
    <col min="9" max="9" width="1.7109375" style="66" customWidth="1"/>
    <col min="10" max="10" width="35.28515625" style="66" bestFit="1" customWidth="1"/>
    <col min="11" max="11" width="16.85546875" style="66" customWidth="1"/>
    <col min="12" max="12" width="11" style="66" bestFit="1" customWidth="1"/>
    <col min="13" max="16384" width="11.42578125" style="66"/>
  </cols>
  <sheetData>
    <row r="2" spans="1:12" ht="14.25" customHeight="1" x14ac:dyDescent="0.2">
      <c r="B2" s="109" t="s">
        <v>0</v>
      </c>
      <c r="C2" s="109"/>
      <c r="D2" s="109"/>
      <c r="E2" s="109"/>
      <c r="F2" s="109"/>
      <c r="G2" s="109"/>
      <c r="H2" s="109"/>
    </row>
    <row r="3" spans="1:12" ht="7.5" customHeight="1" x14ac:dyDescent="0.2"/>
    <row r="4" spans="1:12" x14ac:dyDescent="0.2">
      <c r="A4" s="68"/>
      <c r="B4" s="110">
        <v>43167</v>
      </c>
      <c r="C4" s="110"/>
      <c r="D4" s="110"/>
      <c r="E4" s="110"/>
      <c r="F4" s="110"/>
      <c r="G4" s="110"/>
      <c r="H4" s="110"/>
    </row>
    <row r="5" spans="1:12" ht="14.1" customHeight="1" x14ac:dyDescent="0.2">
      <c r="A5" s="68"/>
      <c r="B5" s="68"/>
    </row>
    <row r="6" spans="1:12" s="69" customFormat="1" ht="25.5" x14ac:dyDescent="0.2">
      <c r="B6" s="70" t="s">
        <v>43</v>
      </c>
      <c r="C6" s="70" t="s">
        <v>2</v>
      </c>
      <c r="D6" s="70" t="s">
        <v>3</v>
      </c>
      <c r="E6" s="71"/>
      <c r="F6" s="70" t="s">
        <v>44</v>
      </c>
      <c r="G6" s="70" t="s">
        <v>2</v>
      </c>
      <c r="H6" s="70" t="s">
        <v>3</v>
      </c>
      <c r="J6" s="70" t="s">
        <v>45</v>
      </c>
      <c r="K6" s="70" t="s">
        <v>2</v>
      </c>
      <c r="L6" s="70" t="s">
        <v>3</v>
      </c>
    </row>
    <row r="7" spans="1:12" ht="14.1" customHeight="1" x14ac:dyDescent="0.2">
      <c r="B7" s="72" t="s">
        <v>46</v>
      </c>
      <c r="C7" s="73"/>
      <c r="D7" s="74" t="str">
        <f t="shared" ref="D7:D17" si="0">+IF(C7/$C$49=0,"",C7/$C$49)</f>
        <v/>
      </c>
      <c r="E7" s="75"/>
      <c r="F7" s="72" t="s">
        <v>46</v>
      </c>
      <c r="G7" s="76">
        <f>220529+35854+1082286+2958275+2084110+4325520+137437+923049+785994-151128</f>
        <v>12401926</v>
      </c>
      <c r="H7" s="77">
        <f t="shared" ref="H7:H17" si="1">+IF(G7/$C$50=0,"",G7/$C$50)</f>
        <v>2.0052948212554751E-4</v>
      </c>
      <c r="I7" s="78"/>
      <c r="J7" s="72" t="s">
        <v>46</v>
      </c>
      <c r="K7" s="76"/>
      <c r="L7" s="77" t="str">
        <f>+IF(K7/$C$55=0,"",K7/$C$55)</f>
        <v/>
      </c>
    </row>
    <row r="8" spans="1:12" ht="14.1" customHeight="1" x14ac:dyDescent="0.2">
      <c r="B8" s="79" t="s">
        <v>47</v>
      </c>
      <c r="C8" s="73">
        <v>12125580</v>
      </c>
      <c r="D8" s="74">
        <f t="shared" si="0"/>
        <v>5.4102184793772658E-3</v>
      </c>
      <c r="E8" s="75"/>
      <c r="F8" s="79" t="s">
        <v>47</v>
      </c>
      <c r="G8" s="76">
        <v>4725706</v>
      </c>
      <c r="H8" s="77">
        <f t="shared" si="1"/>
        <v>7.6410984621065516E-5</v>
      </c>
      <c r="J8" s="79" t="s">
        <v>47</v>
      </c>
      <c r="K8" s="76">
        <v>42445698</v>
      </c>
      <c r="L8" s="77">
        <f t="shared" ref="L8:L17" si="2">+IF(K8/$C$55=0,"",K8/$C$55)</f>
        <v>5.4498438492815108E-3</v>
      </c>
    </row>
    <row r="9" spans="1:12" ht="14.1" customHeight="1" x14ac:dyDescent="0.2">
      <c r="B9" s="79" t="s">
        <v>7</v>
      </c>
      <c r="C9" s="73"/>
      <c r="D9" s="74" t="str">
        <f t="shared" si="0"/>
        <v/>
      </c>
      <c r="E9" s="75"/>
      <c r="F9" s="79" t="s">
        <v>7</v>
      </c>
      <c r="G9" s="76"/>
      <c r="H9" s="77" t="str">
        <f t="shared" si="1"/>
        <v/>
      </c>
      <c r="J9" s="79" t="s">
        <v>7</v>
      </c>
      <c r="K9" s="76"/>
      <c r="L9" s="77" t="str">
        <f t="shared" si="2"/>
        <v/>
      </c>
    </row>
    <row r="10" spans="1:12" ht="14.1" customHeight="1" x14ac:dyDescent="0.2">
      <c r="B10" s="72" t="s">
        <v>9</v>
      </c>
      <c r="C10" s="73">
        <v>57804</v>
      </c>
      <c r="D10" s="74">
        <f t="shared" si="0"/>
        <v>2.5791118361507116E-5</v>
      </c>
      <c r="E10" s="75"/>
      <c r="F10" s="79" t="s">
        <v>9</v>
      </c>
      <c r="G10" s="76">
        <v>308525</v>
      </c>
      <c r="H10" s="77">
        <f t="shared" si="1"/>
        <v>4.9886089041963762E-6</v>
      </c>
      <c r="J10" s="79" t="s">
        <v>9</v>
      </c>
      <c r="K10" s="76">
        <v>6619</v>
      </c>
      <c r="L10" s="77">
        <f t="shared" si="2"/>
        <v>8.4985094221785024E-7</v>
      </c>
    </row>
    <row r="11" spans="1:12" ht="14.1" customHeight="1" x14ac:dyDescent="0.2">
      <c r="B11" s="72" t="s">
        <v>10</v>
      </c>
      <c r="C11" s="73"/>
      <c r="D11" s="74" t="str">
        <f t="shared" si="0"/>
        <v/>
      </c>
      <c r="E11" s="75"/>
      <c r="F11" s="79" t="s">
        <v>10</v>
      </c>
      <c r="G11" s="76">
        <f>-48510400+46649200</f>
        <v>-1861200</v>
      </c>
      <c r="H11" s="77">
        <f t="shared" si="1"/>
        <v>-3.0094154096070966E-5</v>
      </c>
      <c r="J11" s="79" t="s">
        <v>10</v>
      </c>
      <c r="K11" s="76"/>
      <c r="L11" s="77" t="str">
        <f t="shared" si="2"/>
        <v/>
      </c>
    </row>
    <row r="12" spans="1:12" ht="14.1" customHeight="1" x14ac:dyDescent="0.2">
      <c r="B12" s="79" t="s">
        <v>48</v>
      </c>
      <c r="C12" s="73"/>
      <c r="D12" s="74" t="str">
        <f t="shared" si="0"/>
        <v/>
      </c>
      <c r="E12" s="75"/>
      <c r="F12" s="79" t="s">
        <v>48</v>
      </c>
      <c r="G12" s="76">
        <v>-539397</v>
      </c>
      <c r="H12" s="77">
        <f t="shared" si="1"/>
        <v>-8.7216292912950734E-6</v>
      </c>
      <c r="J12" s="79" t="s">
        <v>48</v>
      </c>
      <c r="K12" s="76"/>
      <c r="L12" s="77" t="str">
        <f t="shared" si="2"/>
        <v/>
      </c>
    </row>
    <row r="13" spans="1:12" ht="14.1" customHeight="1" x14ac:dyDescent="0.2">
      <c r="B13" s="79" t="s">
        <v>12</v>
      </c>
      <c r="C13" s="73"/>
      <c r="D13" s="74" t="str">
        <f t="shared" si="0"/>
        <v/>
      </c>
      <c r="E13" s="75"/>
      <c r="F13" s="79" t="s">
        <v>12</v>
      </c>
      <c r="G13" s="76">
        <v>-67337831</v>
      </c>
      <c r="H13" s="77">
        <f t="shared" si="1"/>
        <v>-1.0888002700457685E-3</v>
      </c>
      <c r="J13" s="79" t="s">
        <v>12</v>
      </c>
      <c r="K13" s="76"/>
      <c r="L13" s="77" t="str">
        <f t="shared" si="2"/>
        <v/>
      </c>
    </row>
    <row r="14" spans="1:12" ht="14.1" customHeight="1" x14ac:dyDescent="0.2">
      <c r="B14" s="79" t="s">
        <v>13</v>
      </c>
      <c r="C14" s="73">
        <v>10458741</v>
      </c>
      <c r="D14" s="74">
        <f t="shared" si="0"/>
        <v>4.6665045160083612E-3</v>
      </c>
      <c r="E14" s="75"/>
      <c r="F14" s="79" t="s">
        <v>13</v>
      </c>
      <c r="G14" s="76"/>
      <c r="H14" s="77" t="str">
        <f t="shared" si="1"/>
        <v/>
      </c>
      <c r="J14" s="79" t="s">
        <v>13</v>
      </c>
      <c r="K14" s="76">
        <f>-54006044-1466</f>
        <v>-54007510</v>
      </c>
      <c r="L14" s="77">
        <f t="shared" si="2"/>
        <v>-6.9343304517812312E-3</v>
      </c>
    </row>
    <row r="15" spans="1:12" ht="14.1" customHeight="1" x14ac:dyDescent="0.2">
      <c r="B15" s="79" t="s">
        <v>49</v>
      </c>
      <c r="C15" s="73"/>
      <c r="D15" s="74" t="str">
        <f t="shared" si="0"/>
        <v/>
      </c>
      <c r="E15" s="75"/>
      <c r="F15" s="79" t="s">
        <v>14</v>
      </c>
      <c r="G15" s="76"/>
      <c r="H15" s="77" t="str">
        <f t="shared" si="1"/>
        <v/>
      </c>
      <c r="J15" s="79" t="s">
        <v>14</v>
      </c>
      <c r="K15" s="76"/>
      <c r="L15" s="77" t="str">
        <f t="shared" si="2"/>
        <v/>
      </c>
    </row>
    <row r="16" spans="1:12" ht="14.1" customHeight="1" x14ac:dyDescent="0.2">
      <c r="B16" s="79" t="s">
        <v>15</v>
      </c>
      <c r="C16" s="73"/>
      <c r="D16" s="74" t="str">
        <f t="shared" si="0"/>
        <v/>
      </c>
      <c r="E16" s="75"/>
      <c r="F16" s="79" t="s">
        <v>15</v>
      </c>
      <c r="G16" s="76"/>
      <c r="H16" s="77" t="str">
        <f t="shared" si="1"/>
        <v/>
      </c>
      <c r="J16" s="79" t="s">
        <v>15</v>
      </c>
      <c r="K16" s="76"/>
      <c r="L16" s="77" t="str">
        <f t="shared" si="2"/>
        <v/>
      </c>
    </row>
    <row r="17" spans="1:12" ht="14.1" customHeight="1" x14ac:dyDescent="0.2">
      <c r="B17" s="79" t="s">
        <v>16</v>
      </c>
      <c r="C17" s="80"/>
      <c r="D17" s="74" t="str">
        <f t="shared" si="0"/>
        <v/>
      </c>
      <c r="E17" s="75"/>
      <c r="F17" s="81" t="s">
        <v>16</v>
      </c>
      <c r="G17" s="76">
        <v>-213190</v>
      </c>
      <c r="H17" s="77">
        <f t="shared" si="1"/>
        <v>-3.4471162216534328E-6</v>
      </c>
      <c r="J17" s="81" t="s">
        <v>16</v>
      </c>
      <c r="K17" s="76">
        <v>-17113</v>
      </c>
      <c r="L17" s="77">
        <f t="shared" si="2"/>
        <v>-2.1972351071421773E-6</v>
      </c>
    </row>
    <row r="18" spans="1:12" ht="14.1" customHeight="1" x14ac:dyDescent="0.2">
      <c r="B18" s="82" t="s">
        <v>17</v>
      </c>
      <c r="C18" s="83"/>
      <c r="D18" s="84">
        <f>SUM(D7:D17)</f>
        <v>1.0102514113747133E-2</v>
      </c>
      <c r="E18" s="75"/>
      <c r="F18" s="82" t="s">
        <v>17</v>
      </c>
      <c r="G18" s="85"/>
      <c r="H18" s="84">
        <f>SUM(H7:H17)</f>
        <v>-8.4913409400397862E-4</v>
      </c>
      <c r="I18" s="86"/>
      <c r="J18" s="82" t="s">
        <v>17</v>
      </c>
      <c r="K18" s="85"/>
      <c r="L18" s="84">
        <f>SUM(L7:L17)</f>
        <v>-1.4858339866646449E-3</v>
      </c>
    </row>
    <row r="19" spans="1:12" ht="14.1" customHeight="1" x14ac:dyDescent="0.2">
      <c r="E19" s="75"/>
    </row>
    <row r="20" spans="1:12" ht="25.5" x14ac:dyDescent="0.2">
      <c r="B20" s="70" t="s">
        <v>50</v>
      </c>
      <c r="C20" s="70" t="s">
        <v>2</v>
      </c>
      <c r="D20" s="70" t="s">
        <v>3</v>
      </c>
      <c r="E20" s="87"/>
      <c r="F20" s="70" t="s">
        <v>51</v>
      </c>
      <c r="G20" s="70" t="s">
        <v>2</v>
      </c>
      <c r="H20" s="70" t="s">
        <v>3</v>
      </c>
      <c r="J20" s="70" t="s">
        <v>52</v>
      </c>
      <c r="K20" s="70" t="s">
        <v>2</v>
      </c>
      <c r="L20" s="70" t="s">
        <v>3</v>
      </c>
    </row>
    <row r="21" spans="1:12" ht="14.1" customHeight="1" x14ac:dyDescent="0.2">
      <c r="B21" s="72" t="s">
        <v>46</v>
      </c>
      <c r="C21" s="76">
        <f>1107201+215627+345645+972393+8367390+17214927+1244338+3411771+647731-110077</f>
        <v>33416946</v>
      </c>
      <c r="D21" s="77">
        <f t="shared" ref="D21:D31" si="3">+IF(C21/$C$51=0,"",C21/$C$51)</f>
        <v>2.2503043733704815E-4</v>
      </c>
      <c r="E21" s="88"/>
      <c r="F21" s="72" t="s">
        <v>46</v>
      </c>
      <c r="G21" s="76">
        <f>77639+258402+3117+5434+13543+14421+2-151508+1725180</f>
        <v>1946230</v>
      </c>
      <c r="H21" s="77">
        <f t="shared" ref="H21:H31" si="4">+IF(G21/$C$52=0,"",G21/$C$52)</f>
        <v>1.2502769132448694E-4</v>
      </c>
      <c r="J21" s="72" t="s">
        <v>46</v>
      </c>
      <c r="K21" s="76"/>
      <c r="L21" s="77" t="str">
        <f>+IF(K21/$C$56=0,"",K21/$C$56)</f>
        <v/>
      </c>
    </row>
    <row r="22" spans="1:12" ht="14.1" customHeight="1" x14ac:dyDescent="0.2">
      <c r="B22" s="79" t="s">
        <v>47</v>
      </c>
      <c r="C22" s="76">
        <v>24926728</v>
      </c>
      <c r="D22" s="77">
        <f t="shared" si="3"/>
        <v>1.6785712563983685E-4</v>
      </c>
      <c r="E22" s="88"/>
      <c r="F22" s="79" t="s">
        <v>47</v>
      </c>
      <c r="G22" s="89">
        <v>1747958</v>
      </c>
      <c r="H22" s="77">
        <f t="shared" si="4"/>
        <v>1.1229050691447953E-4</v>
      </c>
      <c r="J22" s="79" t="s">
        <v>47</v>
      </c>
      <c r="K22" s="76"/>
      <c r="L22" s="77" t="str">
        <f t="shared" ref="L22:L31" si="5">+IF(K22/$C$56=0,"",K22/$C$56)</f>
        <v/>
      </c>
    </row>
    <row r="23" spans="1:12" ht="14.1" customHeight="1" x14ac:dyDescent="0.2">
      <c r="B23" s="79" t="s">
        <v>7</v>
      </c>
      <c r="C23" s="76"/>
      <c r="D23" s="77" t="str">
        <f t="shared" si="3"/>
        <v/>
      </c>
      <c r="E23" s="88"/>
      <c r="F23" s="79" t="s">
        <v>7</v>
      </c>
      <c r="G23" s="89"/>
      <c r="H23" s="77" t="str">
        <f t="shared" si="4"/>
        <v/>
      </c>
      <c r="J23" s="79" t="s">
        <v>7</v>
      </c>
      <c r="K23" s="76"/>
      <c r="L23" s="77" t="str">
        <f t="shared" si="5"/>
        <v/>
      </c>
    </row>
    <row r="24" spans="1:12" ht="14.1" customHeight="1" x14ac:dyDescent="0.2">
      <c r="B24" s="79" t="s">
        <v>9</v>
      </c>
      <c r="C24" s="76">
        <v>3099204</v>
      </c>
      <c r="D24" s="77">
        <f t="shared" si="3"/>
        <v>2.0870106787039394E-5</v>
      </c>
      <c r="E24" s="88"/>
      <c r="F24" s="79" t="s">
        <v>9</v>
      </c>
      <c r="G24" s="76">
        <v>90279</v>
      </c>
      <c r="H24" s="77">
        <f t="shared" si="4"/>
        <v>5.7996099870433378E-6</v>
      </c>
      <c r="J24" s="79" t="s">
        <v>9</v>
      </c>
      <c r="K24" s="76"/>
      <c r="L24" s="77" t="str">
        <f t="shared" si="5"/>
        <v/>
      </c>
    </row>
    <row r="25" spans="1:12" ht="14.1" customHeight="1" x14ac:dyDescent="0.2">
      <c r="B25" s="79" t="s">
        <v>10</v>
      </c>
      <c r="C25" s="76">
        <f>-475396900+454469120</f>
        <v>-20927780</v>
      </c>
      <c r="D25" s="77">
        <f t="shared" si="3"/>
        <v>-1.4092812329090544E-4</v>
      </c>
      <c r="E25" s="88"/>
      <c r="F25" s="79" t="s">
        <v>10</v>
      </c>
      <c r="G25" s="76">
        <f>49575000-50729500</f>
        <v>-1154500</v>
      </c>
      <c r="H25" s="77">
        <f t="shared" si="4"/>
        <v>-7.4166192913540619E-5</v>
      </c>
      <c r="J25" s="79" t="s">
        <v>10</v>
      </c>
      <c r="K25" s="76"/>
      <c r="L25" s="77" t="str">
        <f t="shared" si="5"/>
        <v/>
      </c>
    </row>
    <row r="26" spans="1:12" ht="14.1" customHeight="1" x14ac:dyDescent="0.2">
      <c r="B26" s="79" t="s">
        <v>48</v>
      </c>
      <c r="C26" s="90"/>
      <c r="D26" s="77" t="str">
        <f t="shared" si="3"/>
        <v/>
      </c>
      <c r="E26" s="88"/>
      <c r="F26" s="79" t="s">
        <v>48</v>
      </c>
      <c r="G26" s="76"/>
      <c r="H26" s="77" t="str">
        <f t="shared" si="4"/>
        <v/>
      </c>
      <c r="J26" s="79" t="s">
        <v>48</v>
      </c>
      <c r="K26" s="76"/>
      <c r="L26" s="77" t="str">
        <f t="shared" si="5"/>
        <v/>
      </c>
    </row>
    <row r="27" spans="1:12" ht="14.1" customHeight="1" x14ac:dyDescent="0.2">
      <c r="B27" s="79" t="s">
        <v>12</v>
      </c>
      <c r="C27" s="76">
        <f>-4387809-69033674+179732-17974239+755416-4765565</f>
        <v>-95226139</v>
      </c>
      <c r="D27" s="77">
        <f t="shared" si="3"/>
        <v>-6.4125488023616928E-4</v>
      </c>
      <c r="E27" s="88"/>
      <c r="F27" s="79" t="s">
        <v>12</v>
      </c>
      <c r="G27" s="76">
        <f>-27275-71298+15047-12+40423-18149433</f>
        <v>-18192548</v>
      </c>
      <c r="H27" s="77">
        <f t="shared" si="4"/>
        <v>-1.1687068207508423E-3</v>
      </c>
      <c r="J27" s="79" t="s">
        <v>12</v>
      </c>
      <c r="K27" s="76"/>
      <c r="L27" s="77" t="str">
        <f t="shared" si="5"/>
        <v/>
      </c>
    </row>
    <row r="28" spans="1:12" ht="14.1" customHeight="1" x14ac:dyDescent="0.2">
      <c r="B28" s="79" t="s">
        <v>13</v>
      </c>
      <c r="C28" s="76">
        <v>328449</v>
      </c>
      <c r="D28" s="77">
        <f t="shared" si="3"/>
        <v>2.2117826719687707E-6</v>
      </c>
      <c r="E28" s="88"/>
      <c r="F28" s="79" t="s">
        <v>13</v>
      </c>
      <c r="G28" s="89">
        <v>-20896</v>
      </c>
      <c r="H28" s="77">
        <f t="shared" si="4"/>
        <v>-1.3423791833012947E-6</v>
      </c>
      <c r="J28" s="79" t="s">
        <v>13</v>
      </c>
      <c r="K28" s="76"/>
      <c r="L28" s="77" t="str">
        <f t="shared" si="5"/>
        <v/>
      </c>
    </row>
    <row r="29" spans="1:12" ht="14.1" customHeight="1" x14ac:dyDescent="0.2">
      <c r="B29" s="91" t="s">
        <v>7</v>
      </c>
      <c r="C29" s="76"/>
      <c r="D29" s="77" t="str">
        <f t="shared" si="3"/>
        <v/>
      </c>
      <c r="E29" s="88"/>
      <c r="F29" s="79" t="s">
        <v>53</v>
      </c>
      <c r="G29" s="89"/>
      <c r="H29" s="77" t="str">
        <f t="shared" si="4"/>
        <v/>
      </c>
      <c r="J29" s="79" t="s">
        <v>14</v>
      </c>
      <c r="K29" s="76"/>
      <c r="L29" s="77" t="str">
        <f t="shared" si="5"/>
        <v/>
      </c>
    </row>
    <row r="30" spans="1:12" ht="14.1" customHeight="1" x14ac:dyDescent="0.2">
      <c r="B30" s="79" t="s">
        <v>15</v>
      </c>
      <c r="C30" s="76">
        <v>-2696981</v>
      </c>
      <c r="D30" s="77">
        <f t="shared" si="3"/>
        <v>-1.8161528402975825E-5</v>
      </c>
      <c r="E30" s="88"/>
      <c r="F30" s="79" t="s">
        <v>15</v>
      </c>
      <c r="G30" s="76"/>
      <c r="H30" s="77" t="str">
        <f t="shared" si="4"/>
        <v/>
      </c>
      <c r="J30" s="79" t="s">
        <v>15</v>
      </c>
      <c r="K30" s="76"/>
      <c r="L30" s="77" t="str">
        <f t="shared" si="5"/>
        <v/>
      </c>
    </row>
    <row r="31" spans="1:12" s="92" customFormat="1" ht="14.1" customHeight="1" x14ac:dyDescent="0.2">
      <c r="A31" s="66"/>
      <c r="B31" s="79" t="s">
        <v>16</v>
      </c>
      <c r="C31" s="76"/>
      <c r="D31" s="77" t="str">
        <f t="shared" si="3"/>
        <v/>
      </c>
      <c r="E31" s="88"/>
      <c r="F31" s="79" t="s">
        <v>16</v>
      </c>
      <c r="G31" s="89">
        <v>-25232</v>
      </c>
      <c r="H31" s="77">
        <f t="shared" si="4"/>
        <v>-1.6209280031134315E-6</v>
      </c>
      <c r="I31" s="66"/>
      <c r="J31" s="81" t="s">
        <v>16</v>
      </c>
      <c r="K31" s="76"/>
      <c r="L31" s="77" t="str">
        <f t="shared" si="5"/>
        <v/>
      </c>
    </row>
    <row r="32" spans="1:12" s="92" customFormat="1" ht="14.1" customHeight="1" x14ac:dyDescent="0.2">
      <c r="A32" s="66"/>
      <c r="B32" s="82" t="s">
        <v>17</v>
      </c>
      <c r="C32" s="83"/>
      <c r="D32" s="84">
        <f>SUM(D21:D31)</f>
        <v>-3.8437507949415741E-4</v>
      </c>
      <c r="E32" s="88"/>
      <c r="F32" s="82" t="s">
        <v>17</v>
      </c>
      <c r="G32" s="83"/>
      <c r="H32" s="84">
        <f>SUM(H21:H31)</f>
        <v>-1.002718512624788E-3</v>
      </c>
      <c r="I32" s="66"/>
      <c r="J32" s="82" t="s">
        <v>17</v>
      </c>
      <c r="K32" s="85"/>
      <c r="L32" s="84">
        <f>SUM(L21:L31)</f>
        <v>0</v>
      </c>
    </row>
    <row r="33" spans="1:11" s="92" customFormat="1" ht="12.75" customHeight="1" x14ac:dyDescent="0.2">
      <c r="A33" s="66"/>
      <c r="B33" s="66"/>
      <c r="C33" s="93"/>
      <c r="D33" s="66"/>
      <c r="E33" s="67"/>
      <c r="F33" s="66"/>
      <c r="G33" s="66"/>
      <c r="H33" s="66"/>
      <c r="I33" s="66"/>
      <c r="J33" s="66"/>
      <c r="K33" s="66"/>
    </row>
    <row r="34" spans="1:11" s="92" customFormat="1" ht="25.5" x14ac:dyDescent="0.2">
      <c r="A34" s="66" t="s">
        <v>23</v>
      </c>
      <c r="B34" s="70" t="s">
        <v>54</v>
      </c>
      <c r="C34" s="70" t="s">
        <v>2</v>
      </c>
      <c r="D34" s="70" t="s">
        <v>3</v>
      </c>
      <c r="E34" s="94"/>
      <c r="F34" s="70" t="s">
        <v>55</v>
      </c>
      <c r="G34" s="70"/>
      <c r="H34" s="70" t="s">
        <v>3</v>
      </c>
      <c r="I34" s="66"/>
      <c r="J34" s="66"/>
      <c r="K34" s="66"/>
    </row>
    <row r="35" spans="1:11" s="92" customFormat="1" ht="14.1" customHeight="1" x14ac:dyDescent="0.2">
      <c r="A35" s="66"/>
      <c r="B35" s="72" t="s">
        <v>46</v>
      </c>
      <c r="C35" s="95">
        <f>45140+55342+271986+439033+852914+1586413+194700+430120+701826+853567</f>
        <v>5431041</v>
      </c>
      <c r="D35" s="77">
        <f t="shared" ref="D35:D45" si="6">+IF(C35/$C$53=0,"",C35/$C$53)</f>
        <v>1.6517520605925466E-4</v>
      </c>
      <c r="E35" s="75"/>
      <c r="F35" s="72" t="s">
        <v>46</v>
      </c>
      <c r="G35" s="96"/>
      <c r="H35" s="77" t="str">
        <f t="shared" ref="H35:H45" si="7">+IF(G35/$C$54=0,"",G35/$C$54)</f>
        <v/>
      </c>
      <c r="I35" s="66"/>
      <c r="J35" s="66"/>
      <c r="K35" s="66"/>
    </row>
    <row r="36" spans="1:11" s="92" customFormat="1" ht="14.1" customHeight="1" x14ac:dyDescent="0.2">
      <c r="A36" s="66"/>
      <c r="B36" s="72" t="s">
        <v>47</v>
      </c>
      <c r="C36" s="96">
        <v>1767391</v>
      </c>
      <c r="D36" s="77">
        <f t="shared" si="6"/>
        <v>5.3751973629415088E-5</v>
      </c>
      <c r="E36" s="75"/>
      <c r="F36" s="72" t="s">
        <v>47</v>
      </c>
      <c r="G36" s="96"/>
      <c r="H36" s="77" t="str">
        <f>+IF(G36/$C$54=0,"",G36/$C$54)</f>
        <v/>
      </c>
      <c r="I36" s="66"/>
      <c r="J36" s="66"/>
      <c r="K36" s="66"/>
    </row>
    <row r="37" spans="1:11" s="92" customFormat="1" ht="14.1" customHeight="1" x14ac:dyDescent="0.2">
      <c r="A37" s="66"/>
      <c r="B37" s="72" t="s">
        <v>7</v>
      </c>
      <c r="C37" s="96"/>
      <c r="D37" s="77" t="str">
        <f t="shared" si="6"/>
        <v/>
      </c>
      <c r="E37" s="75"/>
      <c r="F37" s="72" t="s">
        <v>7</v>
      </c>
      <c r="G37" s="96"/>
      <c r="H37" s="77" t="str">
        <f t="shared" si="7"/>
        <v/>
      </c>
      <c r="I37" s="66"/>
      <c r="J37" s="66"/>
      <c r="K37" s="66"/>
    </row>
    <row r="38" spans="1:11" s="92" customFormat="1" ht="14.1" customHeight="1" x14ac:dyDescent="0.2">
      <c r="A38" s="66"/>
      <c r="B38" s="79" t="s">
        <v>9</v>
      </c>
      <c r="C38" s="96">
        <f>45059+827500</f>
        <v>872559</v>
      </c>
      <c r="D38" s="77">
        <f t="shared" si="6"/>
        <v>2.6537290479644177E-5</v>
      </c>
      <c r="E38" s="75"/>
      <c r="F38" s="79" t="s">
        <v>9</v>
      </c>
      <c r="G38" s="96"/>
      <c r="H38" s="77" t="str">
        <f t="shared" si="7"/>
        <v/>
      </c>
      <c r="I38" s="66"/>
      <c r="J38" s="66"/>
      <c r="K38" s="66"/>
    </row>
    <row r="39" spans="1:11" s="92" customFormat="1" ht="14.1" customHeight="1" x14ac:dyDescent="0.2">
      <c r="A39" s="66"/>
      <c r="B39" s="79" t="s">
        <v>10</v>
      </c>
      <c r="C39" s="97">
        <f>-91135040+96842280</f>
        <v>5707240</v>
      </c>
      <c r="D39" s="77">
        <f t="shared" si="6"/>
        <v>1.7357529487065565E-4</v>
      </c>
      <c r="E39" s="75"/>
      <c r="F39" s="79" t="s">
        <v>10</v>
      </c>
      <c r="G39" s="96"/>
      <c r="H39" s="77" t="str">
        <f t="shared" si="7"/>
        <v/>
      </c>
      <c r="I39" s="66"/>
      <c r="J39" s="66"/>
      <c r="K39" s="66"/>
    </row>
    <row r="40" spans="1:11" s="92" customFormat="1" ht="14.1" customHeight="1" x14ac:dyDescent="0.2">
      <c r="A40" s="66"/>
      <c r="B40" s="79" t="s">
        <v>48</v>
      </c>
      <c r="C40" s="97"/>
      <c r="D40" s="77" t="str">
        <f t="shared" si="6"/>
        <v/>
      </c>
      <c r="E40" s="75"/>
      <c r="F40" s="79" t="s">
        <v>48</v>
      </c>
      <c r="G40" s="98"/>
      <c r="H40" s="77" t="str">
        <f t="shared" si="7"/>
        <v/>
      </c>
      <c r="I40" s="66"/>
      <c r="J40" s="99"/>
      <c r="K40" s="66"/>
    </row>
    <row r="41" spans="1:11" s="92" customFormat="1" ht="14.1" customHeight="1" x14ac:dyDescent="0.2">
      <c r="A41" s="66"/>
      <c r="B41" s="79" t="s">
        <v>12</v>
      </c>
      <c r="C41" s="96">
        <f>-21568673+4687</f>
        <v>-21563986</v>
      </c>
      <c r="D41" s="77">
        <f t="shared" si="6"/>
        <v>-6.558293025239328E-4</v>
      </c>
      <c r="E41" s="75"/>
      <c r="F41" s="91" t="s">
        <v>49</v>
      </c>
      <c r="G41" s="98"/>
      <c r="H41" s="77" t="str">
        <f t="shared" si="7"/>
        <v/>
      </c>
      <c r="I41" s="66"/>
      <c r="J41" s="99"/>
      <c r="K41" s="66"/>
    </row>
    <row r="42" spans="1:11" s="92" customFormat="1" ht="14.1" customHeight="1" x14ac:dyDescent="0.2">
      <c r="A42" s="66"/>
      <c r="B42" s="79" t="s">
        <v>13</v>
      </c>
      <c r="C42" s="97">
        <v>-2564412</v>
      </c>
      <c r="D42" s="77">
        <f t="shared" si="6"/>
        <v>-7.7991913616712766E-5</v>
      </c>
      <c r="E42" s="88"/>
      <c r="F42" s="79" t="s">
        <v>13</v>
      </c>
      <c r="G42" s="96">
        <v>-69942725</v>
      </c>
      <c r="H42" s="77">
        <f t="shared" si="7"/>
        <v>-6.3257811274745621E-3</v>
      </c>
      <c r="I42" s="100"/>
      <c r="J42" s="99"/>
      <c r="K42" s="66"/>
    </row>
    <row r="43" spans="1:11" s="92" customFormat="1" ht="14.1" customHeight="1" x14ac:dyDescent="0.2">
      <c r="A43" s="66"/>
      <c r="B43" s="79" t="s">
        <v>53</v>
      </c>
      <c r="C43" s="95"/>
      <c r="D43" s="77" t="str">
        <f t="shared" si="6"/>
        <v/>
      </c>
      <c r="E43" s="88"/>
      <c r="F43" s="79" t="s">
        <v>14</v>
      </c>
      <c r="G43" s="96"/>
      <c r="H43" s="77" t="str">
        <f t="shared" si="7"/>
        <v/>
      </c>
      <c r="I43" s="100"/>
      <c r="J43" s="99"/>
      <c r="K43" s="66"/>
    </row>
    <row r="44" spans="1:11" s="92" customFormat="1" ht="14.1" customHeight="1" x14ac:dyDescent="0.2">
      <c r="A44" s="66"/>
      <c r="B44" s="79" t="s">
        <v>15</v>
      </c>
      <c r="C44" s="96"/>
      <c r="D44" s="77" t="str">
        <f t="shared" si="6"/>
        <v/>
      </c>
      <c r="E44" s="88"/>
      <c r="F44" s="79" t="s">
        <v>15</v>
      </c>
      <c r="G44" s="95"/>
      <c r="H44" s="77" t="str">
        <f t="shared" si="7"/>
        <v/>
      </c>
      <c r="I44" s="100"/>
      <c r="J44" s="99"/>
      <c r="K44" s="66"/>
    </row>
    <row r="45" spans="1:11" s="92" customFormat="1" ht="14.1" customHeight="1" x14ac:dyDescent="0.2">
      <c r="A45" s="66"/>
      <c r="B45" s="79" t="s">
        <v>16</v>
      </c>
      <c r="C45" s="95">
        <v>-90742</v>
      </c>
      <c r="D45" s="77">
        <f t="shared" si="6"/>
        <v>-2.7597524209868578E-6</v>
      </c>
      <c r="E45" s="67"/>
      <c r="F45" s="79" t="s">
        <v>16</v>
      </c>
      <c r="G45" s="97">
        <v>-43886</v>
      </c>
      <c r="H45" s="77">
        <f t="shared" si="7"/>
        <v>-3.9691509096957348E-6</v>
      </c>
      <c r="I45" s="66"/>
      <c r="J45" s="99"/>
      <c r="K45" s="101"/>
    </row>
    <row r="46" spans="1:11" ht="14.1" customHeight="1" x14ac:dyDescent="0.2">
      <c r="B46" s="82" t="s">
        <v>17</v>
      </c>
      <c r="C46" s="83"/>
      <c r="D46" s="84">
        <f>SUM(D35:D45)</f>
        <v>-3.1754120352266282E-4</v>
      </c>
      <c r="E46" s="102"/>
      <c r="F46" s="82" t="s">
        <v>17</v>
      </c>
      <c r="G46" s="83"/>
      <c r="H46" s="84">
        <f>SUM(H35:H45)</f>
        <v>-6.3297502783842578E-3</v>
      </c>
      <c r="J46" s="99"/>
    </row>
    <row r="47" spans="1:11" s="69" customFormat="1" ht="9.75" customHeight="1" x14ac:dyDescent="0.2">
      <c r="B47" s="66"/>
      <c r="C47" s="93"/>
      <c r="D47" s="66"/>
    </row>
    <row r="48" spans="1:11" ht="41.25" customHeight="1" x14ac:dyDescent="0.2">
      <c r="B48" s="70" t="s">
        <v>56</v>
      </c>
      <c r="C48" s="70" t="s">
        <v>57</v>
      </c>
      <c r="D48" s="103"/>
      <c r="E48" s="104"/>
      <c r="F48" s="93"/>
    </row>
    <row r="49" spans="2:9" ht="14.1" customHeight="1" x14ac:dyDescent="0.2">
      <c r="B49" s="72" t="str">
        <f>+B6</f>
        <v>FI Acciones US</v>
      </c>
      <c r="C49" s="105">
        <f>451341378+1087537412+251812570+450545301</f>
        <v>2241236661</v>
      </c>
      <c r="D49" s="67"/>
      <c r="E49" s="104"/>
      <c r="F49" s="93"/>
      <c r="I49" s="66" t="s">
        <v>58</v>
      </c>
    </row>
    <row r="50" spans="2:9" ht="14.1" customHeight="1" x14ac:dyDescent="0.2">
      <c r="B50" s="79" t="s">
        <v>44</v>
      </c>
      <c r="C50" s="106">
        <f>9945385963+36050207271+15850305277</f>
        <v>61845898511</v>
      </c>
      <c r="D50" s="67"/>
      <c r="E50" s="104"/>
      <c r="F50" s="93"/>
    </row>
    <row r="51" spans="2:9" ht="14.1" customHeight="1" x14ac:dyDescent="0.2">
      <c r="B51" s="79" t="s">
        <v>59</v>
      </c>
      <c r="C51" s="105">
        <f>10468110365+14291609096+13820739503+95186853400+14732359038</f>
        <v>148499671402</v>
      </c>
      <c r="D51" s="67"/>
      <c r="F51" s="93"/>
    </row>
    <row r="52" spans="2:9" ht="14.1" customHeight="1" x14ac:dyDescent="0.2">
      <c r="B52" s="91" t="s">
        <v>51</v>
      </c>
      <c r="C52" s="106">
        <f>5362128590+10204262978</f>
        <v>15566391568</v>
      </c>
      <c r="D52" s="67"/>
      <c r="E52" s="104"/>
      <c r="F52" s="93"/>
    </row>
    <row r="53" spans="2:9" ht="14.1" customHeight="1" x14ac:dyDescent="0.2">
      <c r="B53" s="79" t="s">
        <v>54</v>
      </c>
      <c r="C53" s="105">
        <v>32880485695</v>
      </c>
      <c r="D53" s="67"/>
      <c r="E53" s="104"/>
      <c r="F53" s="93"/>
    </row>
    <row r="54" spans="2:9" ht="14.1" customHeight="1" x14ac:dyDescent="0.2">
      <c r="B54" s="91" t="s">
        <v>60</v>
      </c>
      <c r="C54" s="105">
        <f>11056772846</f>
        <v>11056772846</v>
      </c>
      <c r="D54" s="67"/>
      <c r="E54" s="66"/>
    </row>
    <row r="55" spans="2:9" x14ac:dyDescent="0.2">
      <c r="B55" s="91" t="s">
        <v>61</v>
      </c>
      <c r="C55" s="105">
        <f>2347191865+3411754680+2029478073</f>
        <v>7788424618</v>
      </c>
    </row>
    <row r="56" spans="2:9" x14ac:dyDescent="0.2">
      <c r="B56" s="91" t="s">
        <v>52</v>
      </c>
      <c r="C56" s="105">
        <f>721938795+5108845750+10072832869</f>
        <v>15903617414</v>
      </c>
    </row>
  </sheetData>
  <mergeCells count="2">
    <mergeCell ref="B2:H2"/>
    <mergeCell ref="B4:H4"/>
  </mergeCells>
  <conditionalFormatting sqref="C18 C44 C7:C16 C37:C41">
    <cfRule type="cellIs" dxfId="34" priority="35" stopIfTrue="1" operator="lessThan">
      <formula>0</formula>
    </cfRule>
  </conditionalFormatting>
  <conditionalFormatting sqref="G23 G31 G28:G29">
    <cfRule type="cellIs" dxfId="33" priority="34" stopIfTrue="1" operator="lessThan">
      <formula>0</formula>
    </cfRule>
  </conditionalFormatting>
  <conditionalFormatting sqref="G35:G37">
    <cfRule type="cellIs" dxfId="32" priority="33" stopIfTrue="1" operator="lessThan">
      <formula>0</formula>
    </cfRule>
  </conditionalFormatting>
  <conditionalFormatting sqref="G38:G39">
    <cfRule type="cellIs" dxfId="31" priority="32" stopIfTrue="1" operator="lessThan">
      <formula>0</formula>
    </cfRule>
  </conditionalFormatting>
  <conditionalFormatting sqref="C29:C31 C21:C23">
    <cfRule type="cellIs" dxfId="30" priority="31" stopIfTrue="1" operator="lessThan">
      <formula>0</formula>
    </cfRule>
  </conditionalFormatting>
  <conditionalFormatting sqref="G18">
    <cfRule type="cellIs" dxfId="29" priority="30" stopIfTrue="1" operator="lessThan">
      <formula>0</formula>
    </cfRule>
  </conditionalFormatting>
  <conditionalFormatting sqref="C24:C26">
    <cfRule type="cellIs" dxfId="28" priority="29" stopIfTrue="1" operator="lessThan">
      <formula>0</formula>
    </cfRule>
  </conditionalFormatting>
  <conditionalFormatting sqref="G30">
    <cfRule type="cellIs" dxfId="27" priority="28" stopIfTrue="1" operator="lessThan">
      <formula>0</formula>
    </cfRule>
  </conditionalFormatting>
  <conditionalFormatting sqref="G24:G26">
    <cfRule type="cellIs" dxfId="26" priority="27" stopIfTrue="1" operator="lessThan">
      <formula>0</formula>
    </cfRule>
  </conditionalFormatting>
  <conditionalFormatting sqref="G27">
    <cfRule type="cellIs" dxfId="25" priority="26" stopIfTrue="1" operator="lessThan">
      <formula>0</formula>
    </cfRule>
  </conditionalFormatting>
  <conditionalFormatting sqref="G21">
    <cfRule type="cellIs" dxfId="24" priority="25" stopIfTrue="1" operator="lessThan">
      <formula>0</formula>
    </cfRule>
  </conditionalFormatting>
  <conditionalFormatting sqref="C17">
    <cfRule type="cellIs" dxfId="23" priority="24" stopIfTrue="1" operator="lessThan">
      <formula>0</formula>
    </cfRule>
  </conditionalFormatting>
  <conditionalFormatting sqref="C28">
    <cfRule type="cellIs" dxfId="22" priority="23" stopIfTrue="1" operator="lessThan">
      <formula>0</formula>
    </cfRule>
  </conditionalFormatting>
  <conditionalFormatting sqref="G15:G17 G13 G7:G9">
    <cfRule type="cellIs" dxfId="21" priority="22" stopIfTrue="1" operator="lessThan">
      <formula>0</formula>
    </cfRule>
  </conditionalFormatting>
  <conditionalFormatting sqref="G10:G12">
    <cfRule type="cellIs" dxfId="20" priority="21" stopIfTrue="1" operator="lessThan">
      <formula>0</formula>
    </cfRule>
  </conditionalFormatting>
  <conditionalFormatting sqref="G14">
    <cfRule type="cellIs" dxfId="19" priority="20" stopIfTrue="1" operator="lessThan">
      <formula>0</formula>
    </cfRule>
  </conditionalFormatting>
  <conditionalFormatting sqref="C27">
    <cfRule type="cellIs" dxfId="18" priority="19" stopIfTrue="1" operator="lessThan">
      <formula>0</formula>
    </cfRule>
  </conditionalFormatting>
  <conditionalFormatting sqref="G45 G42:G43">
    <cfRule type="cellIs" dxfId="17" priority="18" stopIfTrue="1" operator="lessThan">
      <formula>0</formula>
    </cfRule>
  </conditionalFormatting>
  <conditionalFormatting sqref="G44">
    <cfRule type="cellIs" dxfId="16" priority="17" stopIfTrue="1" operator="lessThan">
      <formula>0</formula>
    </cfRule>
  </conditionalFormatting>
  <conditionalFormatting sqref="G40">
    <cfRule type="cellIs" dxfId="15" priority="16" stopIfTrue="1" operator="lessThan">
      <formula>0</formula>
    </cfRule>
  </conditionalFormatting>
  <conditionalFormatting sqref="G41">
    <cfRule type="cellIs" dxfId="14" priority="15" stopIfTrue="1" operator="lessThan">
      <formula>0</formula>
    </cfRule>
  </conditionalFormatting>
  <conditionalFormatting sqref="C35">
    <cfRule type="cellIs" dxfId="13" priority="14" stopIfTrue="1" operator="lessThan">
      <formula>0</formula>
    </cfRule>
  </conditionalFormatting>
  <conditionalFormatting sqref="C45">
    <cfRule type="cellIs" dxfId="12" priority="13" stopIfTrue="1" operator="lessThan">
      <formula>0</formula>
    </cfRule>
  </conditionalFormatting>
  <conditionalFormatting sqref="C43">
    <cfRule type="cellIs" dxfId="11" priority="12" stopIfTrue="1" operator="lessThan">
      <formula>0</formula>
    </cfRule>
  </conditionalFormatting>
  <conditionalFormatting sqref="C42">
    <cfRule type="cellIs" dxfId="10" priority="11" stopIfTrue="1" operator="lessThan">
      <formula>0</formula>
    </cfRule>
  </conditionalFormatting>
  <conditionalFormatting sqref="C36">
    <cfRule type="cellIs" dxfId="9" priority="10" stopIfTrue="1" operator="lessThan">
      <formula>0</formula>
    </cfRule>
  </conditionalFormatting>
  <conditionalFormatting sqref="G22">
    <cfRule type="cellIs" dxfId="8" priority="9" stopIfTrue="1" operator="lessThan">
      <formula>0</formula>
    </cfRule>
  </conditionalFormatting>
  <conditionalFormatting sqref="K18">
    <cfRule type="cellIs" dxfId="7" priority="8" stopIfTrue="1" operator="lessThan">
      <formula>0</formula>
    </cfRule>
  </conditionalFormatting>
  <conditionalFormatting sqref="K15:K17 K13 K7:K9">
    <cfRule type="cellIs" dxfId="6" priority="7" stopIfTrue="1" operator="lessThan">
      <formula>0</formula>
    </cfRule>
  </conditionalFormatting>
  <conditionalFormatting sqref="K10:K12">
    <cfRule type="cellIs" dxfId="5" priority="6" stopIfTrue="1" operator="lessThan">
      <formula>0</formula>
    </cfRule>
  </conditionalFormatting>
  <conditionalFormatting sqref="K14">
    <cfRule type="cellIs" dxfId="4" priority="5" stopIfTrue="1" operator="lessThan">
      <formula>0</formula>
    </cfRule>
  </conditionalFormatting>
  <conditionalFormatting sqref="K32">
    <cfRule type="cellIs" dxfId="3" priority="4" stopIfTrue="1" operator="lessThan">
      <formula>0</formula>
    </cfRule>
  </conditionalFormatting>
  <conditionalFormatting sqref="K29:K31 K27 K21:K23">
    <cfRule type="cellIs" dxfId="2" priority="3" stopIfTrue="1" operator="lessThan">
      <formula>0</formula>
    </cfRule>
  </conditionalFormatting>
  <conditionalFormatting sqref="K24:K26">
    <cfRule type="cellIs" dxfId="1" priority="2" stopIfTrue="1" operator="lessThan">
      <formula>0</formula>
    </cfRule>
  </conditionalFormatting>
  <conditionalFormatting sqref="K28">
    <cfRule type="cellIs" dxfId="0" priority="1" stopIfTrue="1" operator="lessThan">
      <formula>0</formula>
    </cfRule>
  </conditionalFormatting>
  <pageMargins left="0.75" right="0.75" top="1" bottom="1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Diego Posch Ponce</cp:lastModifiedBy>
  <dcterms:created xsi:type="dcterms:W3CDTF">2018-03-09T01:34:27Z</dcterms:created>
  <dcterms:modified xsi:type="dcterms:W3CDTF">2018-03-09T12:09:26Z</dcterms:modified>
</cp:coreProperties>
</file>